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defaultThemeVersion="124226"/>
  <bookViews>
    <workbookView xWindow="-120" yWindow="-120" windowWidth="20730" windowHeight="11760"/>
  </bookViews>
  <sheets>
    <sheet name="Plan1" sheetId="1" r:id="rId1"/>
    <sheet name="Plan2" sheetId="2" r:id="rId2"/>
    <sheet name="Plan3" sheetId="3" r:id="rId3"/>
  </sheets>
  <externalReferences>
    <externalReference r:id="rId4"/>
  </externalReferences>
  <definedNames>
    <definedName name="_xlnm.Print_Area" localSheetId="0">Plan1!$I$2:$T$56</definedName>
  </definedNames>
  <calcPr calcId="145621"/>
</workbook>
</file>

<file path=xl/calcChain.xml><?xml version="1.0" encoding="utf-8"?>
<calcChain xmlns="http://schemas.openxmlformats.org/spreadsheetml/2006/main">
  <c r="C2" i="1" l="1"/>
  <c r="J55" i="1"/>
  <c r="J54" i="1"/>
  <c r="A50" i="1"/>
  <c r="C50" i="1" s="1"/>
  <c r="C49" i="1"/>
  <c r="A39" i="1"/>
  <c r="C39" i="1" s="1"/>
  <c r="C38" i="1"/>
  <c r="J35" i="1"/>
  <c r="N32" i="1"/>
  <c r="J29" i="1"/>
  <c r="A28" i="1"/>
  <c r="A29" i="1" s="1"/>
  <c r="C27" i="1"/>
  <c r="O24" i="1"/>
  <c r="O26" i="1" s="1"/>
  <c r="N22" i="1"/>
  <c r="J22" i="1"/>
  <c r="A22" i="1"/>
  <c r="C22" i="1" s="1"/>
  <c r="N21" i="1"/>
  <c r="J21" i="1"/>
  <c r="C21" i="1"/>
  <c r="N20" i="1"/>
  <c r="J20" i="1"/>
  <c r="N19" i="1"/>
  <c r="J19" i="1"/>
  <c r="N18" i="1"/>
  <c r="J18" i="1"/>
  <c r="A15" i="1"/>
  <c r="C15" i="1" s="1"/>
  <c r="C14" i="1"/>
  <c r="C13" i="1"/>
  <c r="C12" i="1"/>
  <c r="C11" i="1"/>
  <c r="C10" i="1"/>
  <c r="C9" i="1"/>
  <c r="C8" i="1"/>
  <c r="A3" i="1"/>
  <c r="A4" i="1" s="1"/>
  <c r="A51" i="1" l="1"/>
  <c r="A52" i="1" s="1"/>
  <c r="A53" i="1" s="1"/>
  <c r="C4" i="1"/>
  <c r="A5" i="1"/>
  <c r="C29" i="1"/>
  <c r="A32" i="1"/>
  <c r="C3" i="1"/>
  <c r="C28" i="1"/>
  <c r="A17" i="1"/>
  <c r="A23" i="1"/>
  <c r="O25" i="1"/>
  <c r="P25" i="1" s="1"/>
  <c r="M32" i="1"/>
  <c r="N33" i="1"/>
  <c r="J37" i="1"/>
  <c r="A40" i="1"/>
  <c r="C51" i="1" l="1"/>
  <c r="C52" i="1"/>
  <c r="A6" i="1"/>
  <c r="C5" i="1"/>
  <c r="C53" i="1"/>
  <c r="A54" i="1"/>
  <c r="C54" i="1" s="1"/>
  <c r="C32" i="1"/>
  <c r="A33" i="1"/>
  <c r="O27" i="1"/>
  <c r="A24" i="1"/>
  <c r="C23" i="1"/>
  <c r="A18" i="1"/>
  <c r="C17" i="1"/>
  <c r="C40" i="1"/>
  <c r="A41" i="1"/>
  <c r="C24" i="1" l="1"/>
  <c r="A25" i="1"/>
  <c r="A7" i="1"/>
  <c r="C7" i="1" s="1"/>
  <c r="C6" i="1"/>
  <c r="C41" i="1"/>
  <c r="A42" i="1"/>
  <c r="C33" i="1"/>
  <c r="A34" i="1"/>
  <c r="C34" i="1" s="1"/>
  <c r="C18" i="1"/>
  <c r="A19" i="1"/>
  <c r="C19" i="1" l="1"/>
  <c r="A20" i="1"/>
  <c r="C20" i="1" s="1"/>
  <c r="A43" i="1"/>
  <c r="C43" i="1" s="1"/>
  <c r="C42" i="1"/>
  <c r="Q19" i="1" s="1"/>
  <c r="C25" i="1"/>
  <c r="A26" i="1"/>
  <c r="C26" i="1" s="1"/>
  <c r="R20" i="1" s="1"/>
  <c r="Q20" i="1" l="1"/>
  <c r="S21" i="1"/>
  <c r="R26" i="1"/>
  <c r="S20" i="1"/>
  <c r="R18" i="1"/>
  <c r="S19" i="1"/>
  <c r="S26" i="1"/>
  <c r="S18" i="1"/>
  <c r="Q18" i="1"/>
  <c r="R19" i="1"/>
  <c r="R22" i="1"/>
  <c r="R21" i="1"/>
  <c r="Q26" i="1"/>
  <c r="Q22" i="1"/>
  <c r="Q21" i="1"/>
  <c r="S22" i="1"/>
  <c r="P26" i="1" l="1"/>
  <c r="P27" i="1" s="1"/>
  <c r="W27" i="1" l="1"/>
  <c r="U16" i="1" s="1"/>
</calcChain>
</file>

<file path=xl/sharedStrings.xml><?xml version="1.0" encoding="utf-8"?>
<sst xmlns="http://schemas.openxmlformats.org/spreadsheetml/2006/main" count="135" uniqueCount="66">
  <si>
    <t>MIN</t>
  </si>
  <si>
    <t>MED</t>
  </si>
  <si>
    <t>MAX</t>
  </si>
  <si>
    <t>Construção e Reforma de Edifícios</t>
  </si>
  <si>
    <t>AC</t>
  </si>
  <si>
    <t>SG</t>
  </si>
  <si>
    <t>R</t>
  </si>
  <si>
    <t>PROPONENTE / TOMADOR</t>
  </si>
  <si>
    <t>DF</t>
  </si>
  <si>
    <t>L</t>
  </si>
  <si>
    <t>BDI PAD</t>
  </si>
  <si>
    <t>OBJETO</t>
  </si>
  <si>
    <t>Construção de Praças Urbanas, Rodovias, Ferrovias e recapeamento e pavimentação de vias urbanas</t>
  </si>
  <si>
    <t>TIPO DE OBRA DO EMPREENDIMENTO</t>
  </si>
  <si>
    <t>DESONERAÇÃO</t>
  </si>
  <si>
    <t>Conforme legislação tributária municipal, definir estimativa de percentual da base de cálculo para o ISS:</t>
  </si>
  <si>
    <t>Construção de Redes de Abastecimento de Água, Coleta de Esgoto</t>
  </si>
  <si>
    <t>Sobre a base de cálculo, definir a respectiva alíquota do ISS (entre 2% e 5%):</t>
  </si>
  <si>
    <t>Itens</t>
  </si>
  <si>
    <t>Siglas</t>
  </si>
  <si>
    <t>% Adotado</t>
  </si>
  <si>
    <t>Situação</t>
  </si>
  <si>
    <t>1º Quartil</t>
  </si>
  <si>
    <t>Médio</t>
  </si>
  <si>
    <t>3º Quartil</t>
  </si>
  <si>
    <t>-</t>
  </si>
  <si>
    <t>Construção e Manutenção de Estações e Redes de Distribuição de Energia Elétrica</t>
  </si>
  <si>
    <t>Tributos (impostos COFINS 3%, e  PIS 0,65%)</t>
  </si>
  <si>
    <t>CP</t>
  </si>
  <si>
    <t>Tributos (ISS, variável de acordo com o município)</t>
  </si>
  <si>
    <t>ISS</t>
  </si>
  <si>
    <t>Tributos (Contribuição Previdenciária sobre a Receita Bruta - 0% ou 4,5% - Desoneração)</t>
  </si>
  <si>
    <t>CPRB</t>
  </si>
  <si>
    <t>BDI SEM desoneração
(Fórmula Acórdão TCU)</t>
  </si>
  <si>
    <t>Obras Portuárias, Marítimas e Fluviais</t>
  </si>
  <si>
    <t>BDI COM desoneração</t>
  </si>
  <si>
    <t>BDI DES</t>
  </si>
  <si>
    <t>pedir anexo</t>
  </si>
  <si>
    <t>Anexo: Relatório Técnico Circunstanciado justificando a adoção do percentual de cada parcela do BDI.</t>
  </si>
  <si>
    <t>anexo apresentado</t>
  </si>
  <si>
    <t>Os valores de BDI foram calculados com o emprego da fórmula:</t>
  </si>
  <si>
    <t xml:space="preserve"> - 1</t>
  </si>
  <si>
    <t>Fornecimento de Materiais e Equipamentos (aquisição indireta - em conjunto com licitação de obras)</t>
  </si>
  <si>
    <t>Observações:</t>
  </si>
  <si>
    <t>Local</t>
  </si>
  <si>
    <t>Data</t>
  </si>
  <si>
    <t>Estudos e Projetos, Planos e Gerenciamento e outros correlatos</t>
  </si>
  <si>
    <t>K1</t>
  </si>
  <si>
    <t>K2</t>
  </si>
  <si>
    <t/>
  </si>
  <si>
    <t>Responsável Técnico</t>
  </si>
  <si>
    <t>Responsável Tomador</t>
  </si>
  <si>
    <t>Nome:</t>
  </si>
  <si>
    <t>K3</t>
  </si>
  <si>
    <t>Título:</t>
  </si>
  <si>
    <t>Cargo:</t>
  </si>
  <si>
    <t>Fornecimento de Materiais e Equipamentos (aquisição direta)</t>
  </si>
  <si>
    <t>MUNICÍPIO DE CAMPO BOM/ RS</t>
  </si>
  <si>
    <t>RUA COBERTA</t>
  </si>
  <si>
    <t>NÃO</t>
  </si>
  <si>
    <t>Campo Bom</t>
  </si>
  <si>
    <t>Andréa Knewitz</t>
  </si>
  <si>
    <t>Arquiteta e Urbanista</t>
  </si>
  <si>
    <t>A193194</t>
  </si>
  <si>
    <t>Luciano Libório Baptista Orsi</t>
  </si>
  <si>
    <t>Prefeito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</si>
</sst>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R$ &quot;* #,##0.00_);_(&quot;R$ &quot;* \(#,##0.00\);_(&quot;R$ &quot;* &quot;-&quot;??_);_(@_)"/>
    <numFmt numFmtId="165" formatCode="General;General;"/>
    <numFmt numFmtId="166" formatCode="[$-F800]dddd\,\ mmmm\ dd\,\ yyyy"/>
    <numFmt numFmtId="167" formatCode="dd\ &quot;de&quot;\ mmmm\ &quot;de&quot;\ yyyy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0"/>
      <color indexed="12"/>
      <name val="Arial"/>
      <family val="2"/>
    </font>
    <font>
      <sz val="9"/>
      <name val="Arial"/>
      <family val="2"/>
    </font>
    <font>
      <b/>
      <u/>
      <sz val="15"/>
      <name val="Arial"/>
      <family val="2"/>
    </font>
    <font>
      <b/>
      <sz val="11"/>
      <name val="Arial"/>
      <family val="2"/>
    </font>
    <font>
      <b/>
      <sz val="20"/>
      <color indexed="10"/>
      <name val="Arial"/>
      <family val="2"/>
    </font>
    <font>
      <sz val="11"/>
      <name val="Arial"/>
      <family val="2"/>
    </font>
    <font>
      <b/>
      <sz val="12"/>
      <color indexed="10"/>
      <name val="Arial"/>
      <family val="2"/>
    </font>
    <font>
      <sz val="11"/>
      <color indexed="9"/>
      <name val="Arial"/>
      <family val="2"/>
    </font>
    <font>
      <b/>
      <sz val="11"/>
      <color indexed="12"/>
      <name val="Arial"/>
      <family val="2"/>
    </font>
    <font>
      <b/>
      <sz val="18"/>
      <name val="Arial"/>
      <family val="2"/>
    </font>
    <font>
      <sz val="10.5"/>
      <name val="Arial"/>
      <family val="2"/>
    </font>
    <font>
      <i/>
      <sz val="12"/>
      <name val="Calibri"/>
      <family val="2"/>
    </font>
    <font>
      <i/>
      <u/>
      <sz val="12"/>
      <name val="Calibri"/>
      <family val="2"/>
    </font>
    <font>
      <u/>
      <sz val="10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5" fillId="0" borderId="0"/>
    <xf numFmtId="0" fontId="1" fillId="0" borderId="0" applyFont="0" applyFill="0" applyBorder="0" applyAlignment="0" applyProtection="0"/>
  </cellStyleXfs>
  <cellXfs count="112">
    <xf numFmtId="0" fontId="0" fillId="0" borderId="0" xfId="0"/>
    <xf numFmtId="0" fontId="1" fillId="0" borderId="0" xfId="1"/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10" fontId="4" fillId="0" borderId="1" xfId="1" applyNumberFormat="1" applyFont="1" applyBorder="1" applyAlignment="1">
      <alignment horizontal="center"/>
    </xf>
    <xf numFmtId="0" fontId="2" fillId="0" borderId="1" xfId="1" applyFont="1" applyBorder="1" applyAlignment="1">
      <alignment horizontal="center" vertical="center" wrapText="1"/>
    </xf>
    <xf numFmtId="0" fontId="8" fillId="0" borderId="0" xfId="1" applyFont="1" applyAlignment="1">
      <alignment vertical="top" wrapText="1"/>
    </xf>
    <xf numFmtId="0" fontId="9" fillId="0" borderId="1" xfId="1" applyFont="1" applyBorder="1" applyAlignment="1">
      <alignment horizontal="center" vertical="center"/>
    </xf>
    <xf numFmtId="10" fontId="9" fillId="2" borderId="1" xfId="1" applyNumberFormat="1" applyFont="1" applyFill="1" applyBorder="1" applyAlignment="1" applyProtection="1">
      <alignment horizontal="center" vertical="center"/>
      <protection locked="0"/>
    </xf>
    <xf numFmtId="4" fontId="7" fillId="0" borderId="1" xfId="1" applyNumberFormat="1" applyFont="1" applyBorder="1" applyAlignment="1">
      <alignment horizontal="center" vertical="center"/>
    </xf>
    <xf numFmtId="10" fontId="9" fillId="0" borderId="1" xfId="1" applyNumberFormat="1" applyFont="1" applyBorder="1" applyAlignment="1">
      <alignment horizontal="center" vertical="center"/>
    </xf>
    <xf numFmtId="10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10" fillId="0" borderId="0" xfId="1" applyFont="1" applyAlignment="1">
      <alignment wrapText="1"/>
    </xf>
    <xf numFmtId="0" fontId="1" fillId="0" borderId="0" xfId="1" applyProtection="1">
      <protection locked="0"/>
    </xf>
    <xf numFmtId="0" fontId="13" fillId="0" borderId="1" xfId="1" applyFont="1" applyBorder="1" applyAlignment="1">
      <alignment horizontal="center" vertical="center"/>
    </xf>
    <xf numFmtId="0" fontId="1" fillId="0" borderId="0" xfId="1" applyAlignment="1">
      <alignment horizontal="center" vertical="top"/>
    </xf>
    <xf numFmtId="0" fontId="17" fillId="0" borderId="0" xfId="1" applyFont="1" applyAlignment="1">
      <alignment horizontal="center" vertical="top"/>
    </xf>
    <xf numFmtId="0" fontId="2" fillId="0" borderId="3" xfId="1" applyFont="1" applyBorder="1" applyAlignment="1">
      <alignment horizontal="left"/>
    </xf>
    <xf numFmtId="0" fontId="1" fillId="0" borderId="3" xfId="1" applyBorder="1"/>
    <xf numFmtId="0" fontId="9" fillId="0" borderId="0" xfId="1" applyFont="1"/>
    <xf numFmtId="0" fontId="2" fillId="0" borderId="0" xfId="2" applyFont="1" applyAlignment="1">
      <alignment horizontal="left" vertical="top"/>
    </xf>
    <xf numFmtId="0" fontId="9" fillId="0" borderId="0" xfId="1" applyFont="1" applyAlignment="1">
      <alignment vertical="top"/>
    </xf>
    <xf numFmtId="0" fontId="1" fillId="0" borderId="0" xfId="1" applyAlignment="1">
      <alignment vertical="center"/>
    </xf>
    <xf numFmtId="0" fontId="2" fillId="0" borderId="1" xfId="1" applyFont="1" applyBorder="1" applyAlignment="1">
      <alignment horizontal="center" vertical="center"/>
    </xf>
    <xf numFmtId="10" fontId="4" fillId="0" borderId="1" xfId="1" applyNumberFormat="1" applyFont="1" applyBorder="1" applyAlignment="1">
      <alignment horizontal="center" vertical="center"/>
    </xf>
    <xf numFmtId="0" fontId="2" fillId="0" borderId="0" xfId="1" applyFont="1" applyAlignment="1">
      <alignment horizontal="left" vertical="center"/>
    </xf>
    <xf numFmtId="4" fontId="7" fillId="0" borderId="1" xfId="1" applyNumberFormat="1" applyFont="1" applyBorder="1" applyAlignment="1">
      <alignment horizontal="center" vertical="center" wrapText="1"/>
    </xf>
    <xf numFmtId="0" fontId="2" fillId="0" borderId="0" xfId="1" applyFont="1" applyAlignment="1">
      <alignment vertical="center"/>
    </xf>
    <xf numFmtId="167" fontId="1" fillId="0" borderId="0" xfId="1" applyNumberFormat="1"/>
    <xf numFmtId="0" fontId="1" fillId="0" borderId="4" xfId="1" applyBorder="1"/>
    <xf numFmtId="0" fontId="1" fillId="0" borderId="5" xfId="1" applyBorder="1"/>
    <xf numFmtId="0" fontId="0" fillId="0" borderId="5" xfId="0" applyBorder="1"/>
    <xf numFmtId="0" fontId="1" fillId="0" borderId="6" xfId="1" applyBorder="1"/>
    <xf numFmtId="0" fontId="1" fillId="0" borderId="28" xfId="1" applyBorder="1"/>
    <xf numFmtId="0" fontId="1" fillId="0" borderId="29" xfId="1" applyBorder="1"/>
    <xf numFmtId="0" fontId="1" fillId="0" borderId="28" xfId="1" applyBorder="1" applyAlignment="1">
      <alignment vertical="center"/>
    </xf>
    <xf numFmtId="0" fontId="1" fillId="0" borderId="29" xfId="1" applyBorder="1" applyAlignment="1">
      <alignment vertical="center"/>
    </xf>
    <xf numFmtId="0" fontId="6" fillId="0" borderId="29" xfId="1" applyFont="1" applyBorder="1" applyAlignment="1">
      <alignment vertical="center"/>
    </xf>
    <xf numFmtId="0" fontId="1" fillId="0" borderId="7" xfId="1" applyBorder="1"/>
    <xf numFmtId="0" fontId="1" fillId="0" borderId="8" xfId="1" applyBorder="1"/>
    <xf numFmtId="0" fontId="1" fillId="0" borderId="9" xfId="1" applyBorder="1"/>
    <xf numFmtId="0" fontId="2" fillId="0" borderId="0" xfId="1" applyFont="1" applyAlignment="1">
      <alignment horizontal="left"/>
    </xf>
    <xf numFmtId="0" fontId="9" fillId="0" borderId="15" xfId="1" applyFont="1" applyBorder="1" applyAlignment="1">
      <alignment horizontal="center" vertical="center"/>
    </xf>
    <xf numFmtId="10" fontId="9" fillId="2" borderId="15" xfId="1" applyNumberFormat="1" applyFont="1" applyFill="1" applyBorder="1" applyAlignment="1" applyProtection="1">
      <alignment horizontal="center" vertical="center"/>
      <protection locked="0"/>
    </xf>
    <xf numFmtId="4" fontId="7" fillId="0" borderId="15" xfId="1" applyNumberFormat="1" applyFont="1" applyBorder="1" applyAlignment="1">
      <alignment horizontal="center" vertical="center"/>
    </xf>
    <xf numFmtId="10" fontId="9" fillId="0" borderId="15" xfId="1" applyNumberFormat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10" fontId="11" fillId="0" borderId="1" xfId="1" applyNumberFormat="1" applyFont="1" applyBorder="1" applyAlignment="1">
      <alignment horizontal="center" vertical="center"/>
    </xf>
    <xf numFmtId="165" fontId="1" fillId="0" borderId="0" xfId="1" applyNumberFormat="1" applyAlignment="1">
      <alignment horizontal="left"/>
    </xf>
    <xf numFmtId="0" fontId="2" fillId="0" borderId="4" xfId="2" applyFont="1" applyBorder="1" applyAlignment="1">
      <alignment horizontal="left" vertical="center"/>
    </xf>
    <xf numFmtId="0" fontId="2" fillId="0" borderId="5" xfId="2" applyFont="1" applyBorder="1" applyAlignment="1">
      <alignment horizontal="left" vertical="center"/>
    </xf>
    <xf numFmtId="0" fontId="2" fillId="0" borderId="6" xfId="2" applyFont="1" applyBorder="1" applyAlignment="1">
      <alignment horizontal="left" vertical="center"/>
    </xf>
    <xf numFmtId="49" fontId="1" fillId="0" borderId="7" xfId="1" applyNumberFormat="1" applyBorder="1" applyAlignment="1">
      <alignment horizontal="left" vertical="center" wrapText="1"/>
    </xf>
    <xf numFmtId="49" fontId="1" fillId="0" borderId="8" xfId="1" applyNumberFormat="1" applyBorder="1" applyAlignment="1">
      <alignment horizontal="left" vertical="center" wrapText="1"/>
    </xf>
    <xf numFmtId="49" fontId="1" fillId="0" borderId="9" xfId="1" applyNumberFormat="1" applyBorder="1" applyAlignment="1">
      <alignment horizontal="left" vertical="center" wrapText="1"/>
    </xf>
    <xf numFmtId="0" fontId="1" fillId="0" borderId="3" xfId="1" applyBorder="1" applyAlignment="1">
      <alignment horizontal="center" vertical="center"/>
    </xf>
    <xf numFmtId="49" fontId="1" fillId="0" borderId="0" xfId="1" applyNumberFormat="1" applyAlignment="1" applyProtection="1">
      <alignment horizontal="left"/>
      <protection locked="0"/>
    </xf>
    <xf numFmtId="49" fontId="1" fillId="3" borderId="25" xfId="1" applyNumberFormat="1" applyFill="1" applyBorder="1" applyAlignment="1" applyProtection="1">
      <alignment horizontal="left" vertical="top" wrapText="1"/>
      <protection locked="0"/>
    </xf>
    <xf numFmtId="49" fontId="1" fillId="3" borderId="26" xfId="1" applyNumberFormat="1" applyFill="1" applyBorder="1" applyAlignment="1" applyProtection="1">
      <alignment horizontal="left" vertical="top" wrapText="1"/>
      <protection locked="0"/>
    </xf>
    <xf numFmtId="49" fontId="1" fillId="3" borderId="27" xfId="1" applyNumberFormat="1" applyFill="1" applyBorder="1" applyAlignment="1" applyProtection="1">
      <alignment horizontal="left" vertical="top" wrapText="1"/>
      <protection locked="0"/>
    </xf>
    <xf numFmtId="165" fontId="1" fillId="0" borderId="2" xfId="1" applyNumberFormat="1" applyBorder="1" applyAlignment="1">
      <alignment horizontal="left"/>
    </xf>
    <xf numFmtId="166" fontId="1" fillId="0" borderId="2" xfId="1" applyNumberFormat="1" applyBorder="1" applyAlignment="1">
      <alignment horizontal="left"/>
    </xf>
    <xf numFmtId="0" fontId="2" fillId="0" borderId="0" xfId="1" applyFont="1" applyAlignment="1">
      <alignment horizontal="left" vertical="center"/>
    </xf>
    <xf numFmtId="0" fontId="7" fillId="0" borderId="0" xfId="1" applyFont="1" applyAlignment="1">
      <alignment horizontal="left" vertical="center"/>
    </xf>
    <xf numFmtId="0" fontId="18" fillId="0" borderId="22" xfId="1" applyFont="1" applyBorder="1" applyAlignment="1">
      <alignment horizontal="center" vertical="center" wrapText="1"/>
    </xf>
    <xf numFmtId="0" fontId="18" fillId="0" borderId="23" xfId="1" applyFont="1" applyBorder="1" applyAlignment="1">
      <alignment horizontal="center" vertical="center" wrapText="1"/>
    </xf>
    <xf numFmtId="0" fontId="18" fillId="0" borderId="24" xfId="1" applyFont="1" applyBorder="1" applyAlignment="1">
      <alignment horizontal="center" vertical="center" wrapText="1"/>
    </xf>
    <xf numFmtId="0" fontId="1" fillId="0" borderId="1" xfId="1" applyBorder="1" applyAlignment="1">
      <alignment horizontal="left" vertical="center" wrapText="1"/>
    </xf>
    <xf numFmtId="0" fontId="11" fillId="0" borderId="1" xfId="1" applyFont="1" applyBorder="1" applyAlignment="1">
      <alignment horizontal="left" vertical="center" wrapText="1"/>
    </xf>
    <xf numFmtId="2" fontId="12" fillId="0" borderId="1" xfId="1" applyNumberFormat="1" applyFont="1" applyBorder="1" applyAlignment="1">
      <alignment horizontal="center" vertical="center"/>
    </xf>
    <xf numFmtId="0" fontId="14" fillId="0" borderId="0" xfId="1" applyFont="1" applyAlignment="1">
      <alignment horizontal="left" vertical="center" indent="1"/>
    </xf>
    <xf numFmtId="0" fontId="1" fillId="0" borderId="0" xfId="1" applyAlignment="1">
      <alignment horizontal="center" vertical="center"/>
    </xf>
    <xf numFmtId="0" fontId="15" fillId="0" borderId="0" xfId="0" applyFont="1" applyAlignment="1">
      <alignment horizontal="right" vertical="center"/>
    </xf>
    <xf numFmtId="0" fontId="16" fillId="0" borderId="0" xfId="0" applyFont="1" applyAlignment="1">
      <alignment horizontal="center"/>
    </xf>
    <xf numFmtId="0" fontId="15" fillId="0" borderId="0" xfId="0" quotePrefix="1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top"/>
    </xf>
    <xf numFmtId="0" fontId="8" fillId="0" borderId="0" xfId="1" applyFont="1" applyAlignment="1">
      <alignment horizontal="center" vertical="top" wrapText="1"/>
    </xf>
    <xf numFmtId="0" fontId="1" fillId="0" borderId="15" xfId="1" applyBorder="1" applyAlignment="1">
      <alignment horizontal="left" vertical="center" wrapText="1"/>
    </xf>
    <xf numFmtId="0" fontId="1" fillId="0" borderId="1" xfId="1" applyBorder="1" applyAlignment="1">
      <alignment horizontal="left" vertical="center"/>
    </xf>
    <xf numFmtId="0" fontId="5" fillId="0" borderId="14" xfId="1" applyFont="1" applyBorder="1" applyAlignment="1">
      <alignment horizontal="left" wrapText="1"/>
    </xf>
    <xf numFmtId="0" fontId="5" fillId="0" borderId="15" xfId="1" applyFont="1" applyBorder="1" applyAlignment="1">
      <alignment horizontal="left" wrapText="1"/>
    </xf>
    <xf numFmtId="10" fontId="5" fillId="3" borderId="15" xfId="1" applyNumberFormat="1" applyFont="1" applyFill="1" applyBorder="1" applyAlignment="1" applyProtection="1">
      <alignment horizontal="center"/>
      <protection locked="0"/>
    </xf>
    <xf numFmtId="10" fontId="5" fillId="3" borderId="16" xfId="1" applyNumberFormat="1" applyFont="1" applyFill="1" applyBorder="1" applyAlignment="1" applyProtection="1">
      <alignment horizontal="center"/>
      <protection locked="0"/>
    </xf>
    <xf numFmtId="0" fontId="5" fillId="0" borderId="17" xfId="1" applyFont="1" applyBorder="1" applyAlignment="1">
      <alignment horizontal="left"/>
    </xf>
    <xf numFmtId="0" fontId="5" fillId="0" borderId="18" xfId="1" applyFont="1" applyBorder="1" applyAlignment="1">
      <alignment horizontal="left"/>
    </xf>
    <xf numFmtId="10" fontId="5" fillId="3" borderId="18" xfId="1" applyNumberFormat="1" applyFont="1" applyFill="1" applyBorder="1" applyAlignment="1" applyProtection="1">
      <alignment horizontal="center"/>
      <protection locked="0"/>
    </xf>
    <xf numFmtId="10" fontId="5" fillId="3" borderId="19" xfId="1" applyNumberFormat="1" applyFont="1" applyFill="1" applyBorder="1" applyAlignment="1" applyProtection="1">
      <alignment horizontal="center"/>
      <protection locked="0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18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21" xfId="1" applyFont="1" applyBorder="1" applyAlignment="1">
      <alignment horizontal="center" vertical="center"/>
    </xf>
    <xf numFmtId="4" fontId="7" fillId="0" borderId="20" xfId="1" applyNumberFormat="1" applyFont="1" applyBorder="1" applyAlignment="1">
      <alignment horizontal="center" vertical="center" wrapText="1"/>
    </xf>
    <xf numFmtId="4" fontId="7" fillId="0" borderId="21" xfId="1" applyNumberFormat="1" applyFont="1" applyBorder="1" applyAlignment="1">
      <alignment horizontal="center" vertical="center" wrapText="1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5" fillId="0" borderId="7" xfId="3" applyFont="1" applyFill="1" applyBorder="1" applyAlignment="1" applyProtection="1">
      <alignment horizontal="left" vertical="center" wrapText="1"/>
    </xf>
    <xf numFmtId="0" fontId="5" fillId="0" borderId="8" xfId="3" applyFont="1" applyFill="1" applyBorder="1" applyAlignment="1" applyProtection="1">
      <alignment horizontal="left" vertical="center" wrapText="1"/>
    </xf>
    <xf numFmtId="0" fontId="5" fillId="0" borderId="9" xfId="3" applyFont="1" applyFill="1" applyBorder="1" applyAlignment="1" applyProtection="1">
      <alignment horizontal="left" vertical="center" wrapText="1"/>
    </xf>
    <xf numFmtId="0" fontId="2" fillId="0" borderId="10" xfId="2" applyFont="1" applyBorder="1" applyAlignment="1">
      <alignment horizontal="left" vertical="center"/>
    </xf>
    <xf numFmtId="0" fontId="2" fillId="0" borderId="11" xfId="2" applyFont="1" applyBorder="1" applyAlignment="1">
      <alignment horizontal="left" vertical="center"/>
    </xf>
    <xf numFmtId="164" fontId="5" fillId="3" borderId="7" xfId="3" applyNumberFormat="1" applyFont="1" applyFill="1" applyBorder="1" applyAlignment="1" applyProtection="1">
      <alignment horizontal="left" vertical="center"/>
      <protection locked="0"/>
    </xf>
    <xf numFmtId="164" fontId="5" fillId="3" borderId="8" xfId="3" applyNumberFormat="1" applyFont="1" applyFill="1" applyBorder="1" applyAlignment="1" applyProtection="1">
      <alignment horizontal="left" vertical="center"/>
      <protection locked="0"/>
    </xf>
    <xf numFmtId="164" fontId="5" fillId="3" borderId="12" xfId="3" applyNumberFormat="1" applyFont="1" applyFill="1" applyBorder="1" applyAlignment="1" applyProtection="1">
      <alignment horizontal="left" vertical="center"/>
      <protection locked="0"/>
    </xf>
    <xf numFmtId="0" fontId="1" fillId="0" borderId="13" xfId="1" applyBorder="1" applyAlignment="1">
      <alignment horizontal="center" vertical="center" wrapText="1"/>
    </xf>
    <xf numFmtId="0" fontId="1" fillId="0" borderId="9" xfId="1" applyBorder="1" applyAlignment="1">
      <alignment horizontal="center" vertical="center" wrapText="1"/>
    </xf>
  </cellXfs>
  <cellStyles count="4">
    <cellStyle name="Moeda_Composicao BDI v2.1" xfId="3"/>
    <cellStyle name="Normal" xfId="0" builtinId="0"/>
    <cellStyle name="Normal 2" xfId="1"/>
    <cellStyle name="Normal_FICHA DE VERIFICAÇÃO PRELIMINAR - Plano R" xfId="2"/>
  </cellStyles>
  <dxfs count="9">
    <dxf>
      <font>
        <color theme="0"/>
      </font>
      <fill>
        <patternFill patternType="none">
          <bgColor indexed="65"/>
        </patternFill>
      </fill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ill>
        <patternFill>
          <bgColor rgb="FFFFFF9E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1"/>
      </font>
      <fill>
        <patternFill>
          <bgColor theme="0" tint="-0.1499679555650502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0" tint="-0.14996795556505021"/>
        </patternFill>
      </fill>
    </dxf>
    <dxf>
      <font>
        <condense val="0"/>
        <extend val="0"/>
        <color indexed="17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ndense val="0"/>
        <extend val="0"/>
        <color indexed="1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FF9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28575</xdr:colOff>
      <xdr:row>0</xdr:row>
      <xdr:rowOff>19050</xdr:rowOff>
    </xdr:from>
    <xdr:to>
      <xdr:col>9</xdr:col>
      <xdr:colOff>28575</xdr:colOff>
      <xdr:row>2</xdr:row>
      <xdr:rowOff>28575</xdr:rowOff>
    </xdr:to>
    <xdr:sp macro="" textlink="">
      <xdr:nvSpPr>
        <xdr:cNvPr id="2" name="Object 476" hidden="1">
          <a:extLst>
            <a:ext uri="{63B3BB69-23CF-44E3-9099-C40C66FF867C}">
              <a14:compatExt xmlns:a14="http://schemas.microsoft.com/office/drawing/2010/main" spid="_x0000_s156124"/>
            </a:ex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/>
      </xdr:nvSpPr>
      <xdr:spPr>
        <a:xfrm>
          <a:off x="28575" y="19050"/>
          <a:ext cx="1790700" cy="381000"/>
        </a:xfrm>
        <a:prstGeom prst="rect">
          <a:avLst/>
        </a:prstGeom>
      </xdr:spPr>
    </xdr:sp>
    <xdr:clientData/>
  </xdr:twoCellAnchor>
  <xdr:twoCellAnchor editAs="oneCell">
    <xdr:from>
      <xdr:col>9</xdr:col>
      <xdr:colOff>28575</xdr:colOff>
      <xdr:row>0</xdr:row>
      <xdr:rowOff>19050</xdr:rowOff>
    </xdr:from>
    <xdr:to>
      <xdr:col>9</xdr:col>
      <xdr:colOff>28575</xdr:colOff>
      <xdr:row>2</xdr:row>
      <xdr:rowOff>28575</xdr:rowOff>
    </xdr:to>
    <xdr:pic>
      <xdr:nvPicPr>
        <xdr:cNvPr id="3" name="Picture 476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9050"/>
          <a:ext cx="17907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DI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BDI (1)"/>
      <sheetName val="PO"/>
      <sheetName val="PLQ"/>
      <sheetName val="CFF"/>
      <sheetName val="BDI (2)"/>
    </sheetNames>
    <sheetDataSet>
      <sheetData sheetId="0">
        <row r="56">
          <cell r="A56" t="str">
            <v>CREA/CAU:</v>
          </cell>
        </row>
        <row r="57">
          <cell r="A57" t="str">
            <v>ART/RRT:</v>
          </cell>
        </row>
      </sheetData>
      <sheetData sheetId="1"/>
      <sheetData sheetId="2"/>
      <sheetData sheetId="3"/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65"/>
  <sheetViews>
    <sheetView tabSelected="1" topLeftCell="I10" workbookViewId="0">
      <selection activeCell="U16" sqref="U16:V24"/>
    </sheetView>
  </sheetViews>
  <sheetFormatPr defaultColWidth="0" defaultRowHeight="12.75" customHeight="1" zeroHeight="1" x14ac:dyDescent="0.2"/>
  <cols>
    <col min="1" max="1" width="30.28515625" style="1" hidden="1" customWidth="1"/>
    <col min="2" max="3" width="9.140625" style="1" hidden="1" customWidth="1"/>
    <col min="4" max="4" width="23.5703125" style="1" hidden="1" customWidth="1"/>
    <col min="5" max="8" width="9.140625" style="1" hidden="1" customWidth="1"/>
    <col min="9" max="9" width="3.42578125" style="1" customWidth="1"/>
    <col min="10" max="15" width="10.7109375" style="1" customWidth="1"/>
    <col min="16" max="16" width="12.85546875" style="1" customWidth="1"/>
    <col min="17" max="19" width="10.7109375" style="1" customWidth="1"/>
    <col min="20" max="20" width="3.7109375" style="1" customWidth="1"/>
    <col min="21" max="21" width="29.5703125" style="1" customWidth="1"/>
    <col min="22" max="22" width="13.7109375" style="1" customWidth="1"/>
    <col min="23" max="16384" width="9.140625" style="1" hidden="1"/>
  </cols>
  <sheetData>
    <row r="1" spans="1:30" ht="16.5" thickBot="1" x14ac:dyDescent="0.3">
      <c r="E1" s="2" t="s">
        <v>0</v>
      </c>
      <c r="F1" s="2" t="s">
        <v>1</v>
      </c>
      <c r="G1" s="2" t="s">
        <v>2</v>
      </c>
      <c r="O1" s="3"/>
      <c r="R1"/>
      <c r="S1"/>
    </row>
    <row r="2" spans="1:30" ht="15" x14ac:dyDescent="0.25">
      <c r="A2" s="1" t="s">
        <v>3</v>
      </c>
      <c r="B2" s="4" t="s">
        <v>4</v>
      </c>
      <c r="C2" s="1" t="str">
        <f t="shared" ref="C2:C54" si="0">CONCATENATE(A2,"-",B2)</f>
        <v>Construção e Reforma de Edifícios-AC</v>
      </c>
      <c r="E2" s="5">
        <v>0.03</v>
      </c>
      <c r="F2" s="5">
        <v>0.04</v>
      </c>
      <c r="G2" s="5">
        <v>5.5E-2</v>
      </c>
      <c r="I2" s="31"/>
      <c r="J2" s="32"/>
      <c r="K2" s="32"/>
      <c r="L2" s="32"/>
      <c r="M2" s="32"/>
      <c r="N2" s="32"/>
      <c r="O2" s="32"/>
      <c r="P2" s="32"/>
      <c r="Q2" s="32"/>
      <c r="R2" s="33"/>
      <c r="S2" s="33"/>
      <c r="T2" s="34"/>
    </row>
    <row r="3" spans="1:30" ht="13.5" thickBot="1" x14ac:dyDescent="0.25">
      <c r="A3" s="1" t="str">
        <f>A2</f>
        <v>Construção e Reforma de Edifícios</v>
      </c>
      <c r="B3" s="4" t="s">
        <v>5</v>
      </c>
      <c r="C3" s="1" t="str">
        <f t="shared" si="0"/>
        <v>Construção e Reforma de Edifícios-SG</v>
      </c>
      <c r="E3" s="5">
        <v>8.0000000000000002E-3</v>
      </c>
      <c r="F3" s="5">
        <v>8.0000000000000002E-3</v>
      </c>
      <c r="G3" s="5">
        <v>0.01</v>
      </c>
      <c r="I3" s="35"/>
      <c r="T3" s="36"/>
    </row>
    <row r="4" spans="1:30" s="24" customFormat="1" ht="15" customHeight="1" x14ac:dyDescent="0.25">
      <c r="A4" s="24" t="str">
        <f>A3</f>
        <v>Construção e Reforma de Edifícios</v>
      </c>
      <c r="B4" s="25" t="s">
        <v>6</v>
      </c>
      <c r="C4" s="24" t="str">
        <f t="shared" si="0"/>
        <v>Construção e Reforma de Edifícios-R</v>
      </c>
      <c r="E4" s="26">
        <v>9.7000000000000003E-3</v>
      </c>
      <c r="F4" s="26">
        <v>1.2699999999999999E-2</v>
      </c>
      <c r="G4" s="26">
        <v>1.2699999999999999E-2</v>
      </c>
      <c r="I4" s="37"/>
      <c r="J4" s="51" t="s">
        <v>7</v>
      </c>
      <c r="K4" s="52"/>
      <c r="L4" s="52"/>
      <c r="M4" s="52"/>
      <c r="N4" s="52"/>
      <c r="O4" s="52"/>
      <c r="P4" s="52"/>
      <c r="Q4" s="52"/>
      <c r="R4" s="52"/>
      <c r="S4" s="53"/>
      <c r="T4" s="38"/>
    </row>
    <row r="5" spans="1:30" s="24" customFormat="1" ht="20.25" thickBot="1" x14ac:dyDescent="0.3">
      <c r="A5" s="24" t="str">
        <f>A4</f>
        <v>Construção e Reforma de Edifícios</v>
      </c>
      <c r="B5" s="25" t="s">
        <v>8</v>
      </c>
      <c r="C5" s="24" t="str">
        <f t="shared" si="0"/>
        <v>Construção e Reforma de Edifícios-DF</v>
      </c>
      <c r="E5" s="26">
        <v>5.8999999999999999E-3</v>
      </c>
      <c r="F5" s="26">
        <v>1.23E-2</v>
      </c>
      <c r="G5" s="26">
        <v>1.3899999999999999E-2</v>
      </c>
      <c r="I5" s="37"/>
      <c r="J5" s="54" t="s">
        <v>57</v>
      </c>
      <c r="K5" s="55"/>
      <c r="L5" s="55"/>
      <c r="M5" s="55"/>
      <c r="N5" s="55"/>
      <c r="O5" s="55"/>
      <c r="P5" s="55"/>
      <c r="Q5" s="55"/>
      <c r="R5" s="55"/>
      <c r="S5" s="56"/>
      <c r="T5" s="39"/>
    </row>
    <row r="6" spans="1:30" s="24" customFormat="1" ht="13.5" thickBot="1" x14ac:dyDescent="0.3">
      <c r="A6" s="24" t="str">
        <f>A5</f>
        <v>Construção e Reforma de Edifícios</v>
      </c>
      <c r="B6" s="25" t="s">
        <v>9</v>
      </c>
      <c r="C6" s="24" t="str">
        <f t="shared" si="0"/>
        <v>Construção e Reforma de Edifícios-L</v>
      </c>
      <c r="E6" s="26">
        <v>6.1600000000000002E-2</v>
      </c>
      <c r="F6" s="26">
        <v>7.400000000000001E-2</v>
      </c>
      <c r="G6" s="26">
        <v>8.9600000000000013E-2</v>
      </c>
      <c r="I6" s="37"/>
      <c r="J6" s="29"/>
      <c r="K6" s="29"/>
      <c r="L6" s="29"/>
      <c r="M6" s="29"/>
      <c r="N6" s="29"/>
      <c r="O6" s="29"/>
      <c r="P6" s="29"/>
      <c r="Q6" s="29"/>
      <c r="R6" s="29"/>
      <c r="S6" s="29"/>
      <c r="T6" s="38"/>
    </row>
    <row r="7" spans="1:30" s="24" customFormat="1" x14ac:dyDescent="0.25">
      <c r="A7" s="24" t="str">
        <f>A6</f>
        <v>Construção e Reforma de Edifícios</v>
      </c>
      <c r="B7" s="6" t="s">
        <v>10</v>
      </c>
      <c r="C7" s="24" t="str">
        <f t="shared" si="0"/>
        <v>Construção e Reforma de Edifícios-BDI PAD</v>
      </c>
      <c r="E7" s="26">
        <v>0.2034</v>
      </c>
      <c r="F7" s="26">
        <v>0.22120000000000001</v>
      </c>
      <c r="G7" s="26">
        <v>0.25</v>
      </c>
      <c r="I7" s="37"/>
      <c r="J7" s="51" t="s">
        <v>11</v>
      </c>
      <c r="K7" s="52"/>
      <c r="L7" s="52"/>
      <c r="M7" s="52"/>
      <c r="N7" s="52"/>
      <c r="O7" s="52"/>
      <c r="P7" s="52"/>
      <c r="Q7" s="52"/>
      <c r="R7" s="52"/>
      <c r="S7" s="53"/>
      <c r="T7" s="38"/>
    </row>
    <row r="8" spans="1:30" s="24" customFormat="1" ht="15.75" customHeight="1" thickBot="1" x14ac:dyDescent="0.3">
      <c r="A8" s="24" t="s">
        <v>12</v>
      </c>
      <c r="B8" s="25" t="s">
        <v>4</v>
      </c>
      <c r="C8" s="24" t="str">
        <f t="shared" si="0"/>
        <v>Construção de Praças Urbanas, Rodovias, Ferrovias e recapeamento e pavimentação de vias urbanas-AC</v>
      </c>
      <c r="E8" s="26">
        <v>3.7999999999999999E-2</v>
      </c>
      <c r="F8" s="26">
        <v>4.0099999999999997E-2</v>
      </c>
      <c r="G8" s="26">
        <v>4.6699999999999998E-2</v>
      </c>
      <c r="I8" s="37"/>
      <c r="J8" s="102" t="s">
        <v>58</v>
      </c>
      <c r="K8" s="103"/>
      <c r="L8" s="103"/>
      <c r="M8" s="103"/>
      <c r="N8" s="103"/>
      <c r="O8" s="103"/>
      <c r="P8" s="103"/>
      <c r="Q8" s="103"/>
      <c r="R8" s="103"/>
      <c r="S8" s="104"/>
      <c r="T8" s="38"/>
    </row>
    <row r="9" spans="1:30" s="24" customFormat="1" ht="13.5" thickBot="1" x14ac:dyDescent="0.3">
      <c r="A9" s="24" t="s">
        <v>12</v>
      </c>
      <c r="B9" s="25" t="s">
        <v>5</v>
      </c>
      <c r="C9" s="24" t="str">
        <f t="shared" si="0"/>
        <v>Construção de Praças Urbanas, Rodovias, Ferrovias e recapeamento e pavimentação de vias urbanas-SG</v>
      </c>
      <c r="E9" s="26">
        <v>3.2000000000000002E-3</v>
      </c>
      <c r="F9" s="26">
        <v>4.0000000000000001E-3</v>
      </c>
      <c r="G9" s="26">
        <v>7.4000000000000003E-3</v>
      </c>
      <c r="I9" s="37"/>
      <c r="J9" s="29"/>
      <c r="K9" s="29"/>
      <c r="L9" s="29"/>
      <c r="M9" s="29"/>
      <c r="N9" s="29"/>
      <c r="O9" s="29"/>
      <c r="P9" s="29"/>
      <c r="Q9" s="29"/>
      <c r="R9" s="29"/>
      <c r="S9" s="29"/>
      <c r="T9" s="38"/>
    </row>
    <row r="10" spans="1:30" s="24" customFormat="1" x14ac:dyDescent="0.25">
      <c r="A10" s="24" t="s">
        <v>12</v>
      </c>
      <c r="B10" s="25" t="s">
        <v>6</v>
      </c>
      <c r="C10" s="24" t="str">
        <f t="shared" si="0"/>
        <v>Construção de Praças Urbanas, Rodovias, Ferrovias e recapeamento e pavimentação de vias urbanas-R</v>
      </c>
      <c r="E10" s="26">
        <v>5.0000000000000001E-3</v>
      </c>
      <c r="F10" s="26">
        <v>5.6000000000000008E-3</v>
      </c>
      <c r="G10" s="26">
        <v>9.7000000000000003E-3</v>
      </c>
      <c r="I10" s="37"/>
      <c r="J10" s="51" t="s">
        <v>13</v>
      </c>
      <c r="K10" s="52"/>
      <c r="L10" s="52"/>
      <c r="M10" s="52"/>
      <c r="N10" s="52"/>
      <c r="O10" s="52"/>
      <c r="P10" s="52"/>
      <c r="Q10" s="105"/>
      <c r="R10" s="106" t="s">
        <v>14</v>
      </c>
      <c r="S10" s="53"/>
      <c r="T10" s="38"/>
    </row>
    <row r="11" spans="1:30" s="24" customFormat="1" ht="13.5" thickBot="1" x14ac:dyDescent="0.3">
      <c r="A11" s="24" t="s">
        <v>12</v>
      </c>
      <c r="B11" s="25" t="s">
        <v>8</v>
      </c>
      <c r="C11" s="24" t="str">
        <f t="shared" si="0"/>
        <v>Construção de Praças Urbanas, Rodovias, Ferrovias e recapeamento e pavimentação de vias urbanas-DF</v>
      </c>
      <c r="E11" s="26">
        <v>1.0200000000000001E-2</v>
      </c>
      <c r="F11" s="26">
        <v>1.11E-2</v>
      </c>
      <c r="G11" s="26">
        <v>1.21E-2</v>
      </c>
      <c r="I11" s="37"/>
      <c r="J11" s="107" t="s">
        <v>12</v>
      </c>
      <c r="K11" s="108"/>
      <c r="L11" s="108"/>
      <c r="M11" s="108"/>
      <c r="N11" s="108"/>
      <c r="O11" s="108"/>
      <c r="P11" s="108"/>
      <c r="Q11" s="109"/>
      <c r="R11" s="110" t="s">
        <v>59</v>
      </c>
      <c r="S11" s="111"/>
      <c r="T11" s="38"/>
    </row>
    <row r="12" spans="1:30" ht="13.5" thickBot="1" x14ac:dyDescent="0.25">
      <c r="A12" s="1" t="s">
        <v>12</v>
      </c>
      <c r="B12" s="4" t="s">
        <v>9</v>
      </c>
      <c r="C12" s="1" t="str">
        <f t="shared" si="0"/>
        <v>Construção de Praças Urbanas, Rodovias, Ferrovias e recapeamento e pavimentação de vias urbanas-L</v>
      </c>
      <c r="E12" s="5">
        <v>6.6400000000000001E-2</v>
      </c>
      <c r="F12" s="5">
        <v>7.2999999999999995E-2</v>
      </c>
      <c r="G12" s="5">
        <v>8.6899999999999991E-2</v>
      </c>
      <c r="I12" s="35"/>
      <c r="T12" s="36"/>
    </row>
    <row r="13" spans="1:30" x14ac:dyDescent="0.2">
      <c r="A13" s="1" t="s">
        <v>12</v>
      </c>
      <c r="B13" s="6" t="s">
        <v>10</v>
      </c>
      <c r="C13" s="1" t="str">
        <f t="shared" si="0"/>
        <v>Construção de Praças Urbanas, Rodovias, Ferrovias e recapeamento e pavimentação de vias urbanas-BDI PAD</v>
      </c>
      <c r="E13" s="5">
        <v>0.19600000000000001</v>
      </c>
      <c r="F13" s="5">
        <v>0.2097</v>
      </c>
      <c r="G13" s="5">
        <v>0.24230000000000002</v>
      </c>
      <c r="I13" s="35"/>
      <c r="J13" s="82" t="s">
        <v>15</v>
      </c>
      <c r="K13" s="83"/>
      <c r="L13" s="83"/>
      <c r="M13" s="83"/>
      <c r="N13" s="83"/>
      <c r="O13" s="83"/>
      <c r="P13" s="83"/>
      <c r="Q13" s="83"/>
      <c r="R13" s="84">
        <v>0.2702</v>
      </c>
      <c r="S13" s="85"/>
      <c r="T13" s="36"/>
    </row>
    <row r="14" spans="1:30" ht="13.5" thickBot="1" x14ac:dyDescent="0.25">
      <c r="A14" s="1" t="s">
        <v>16</v>
      </c>
      <c r="B14" s="4" t="s">
        <v>4</v>
      </c>
      <c r="C14" s="1" t="str">
        <f t="shared" si="0"/>
        <v>Construção de Redes de Abastecimento de Água, Coleta de Esgoto-AC</v>
      </c>
      <c r="E14" s="5">
        <v>3.4300000000000004E-2</v>
      </c>
      <c r="F14" s="5">
        <v>4.9299999999999997E-2</v>
      </c>
      <c r="G14" s="5">
        <v>6.7099999999999993E-2</v>
      </c>
      <c r="I14" s="35"/>
      <c r="J14" s="86" t="s">
        <v>17</v>
      </c>
      <c r="K14" s="87"/>
      <c r="L14" s="87"/>
      <c r="M14" s="87"/>
      <c r="N14" s="87"/>
      <c r="O14" s="87"/>
      <c r="P14" s="87"/>
      <c r="Q14" s="87"/>
      <c r="R14" s="88">
        <v>0.02</v>
      </c>
      <c r="S14" s="89"/>
      <c r="T14" s="36"/>
    </row>
    <row r="15" spans="1:30" ht="13.5" thickBot="1" x14ac:dyDescent="0.25">
      <c r="A15" s="1" t="str">
        <f>A14</f>
        <v>Construção de Redes de Abastecimento de Água, Coleta de Esgoto</v>
      </c>
      <c r="B15" s="4" t="s">
        <v>5</v>
      </c>
      <c r="C15" s="1" t="str">
        <f t="shared" si="0"/>
        <v>Construção de Redes de Abastecimento de Água, Coleta de Esgoto-SG</v>
      </c>
      <c r="E15" s="5">
        <v>2.8000000000000004E-3</v>
      </c>
      <c r="F15" s="5">
        <v>4.8999999999999998E-3</v>
      </c>
      <c r="G15" s="5">
        <v>7.4999999999999997E-3</v>
      </c>
      <c r="I15" s="35"/>
      <c r="T15" s="36"/>
    </row>
    <row r="16" spans="1:30" ht="26.25" x14ac:dyDescent="0.2">
      <c r="B16" s="4"/>
      <c r="E16" s="5"/>
      <c r="F16" s="5"/>
      <c r="G16" s="5"/>
      <c r="I16" s="35"/>
      <c r="J16" s="90" t="s">
        <v>18</v>
      </c>
      <c r="K16" s="91"/>
      <c r="L16" s="91"/>
      <c r="M16" s="92"/>
      <c r="N16" s="96" t="s">
        <v>19</v>
      </c>
      <c r="O16" s="98" t="s">
        <v>20</v>
      </c>
      <c r="P16" s="98" t="s">
        <v>21</v>
      </c>
      <c r="Q16" s="96" t="s">
        <v>22</v>
      </c>
      <c r="R16" s="96" t="s">
        <v>23</v>
      </c>
      <c r="S16" s="100" t="s">
        <v>24</v>
      </c>
      <c r="T16" s="36"/>
      <c r="U16" s="79" t="str">
        <f>IF(W27,"Para BDI fora do intervalo estatístico, deve ser apresentado Relatório Técnico Circunstanciado justificando a adoção do percentual de cada parcela do BDI.","")</f>
        <v/>
      </c>
      <c r="V16" s="79"/>
      <c r="W16" s="7"/>
      <c r="X16" s="7"/>
      <c r="Y16" s="7"/>
      <c r="Z16" s="7"/>
      <c r="AA16" s="7"/>
      <c r="AB16" s="7"/>
      <c r="AC16" s="7"/>
      <c r="AD16" s="7"/>
    </row>
    <row r="17" spans="1:32" ht="15.75" customHeight="1" thickBot="1" x14ac:dyDescent="0.25">
      <c r="A17" s="1" t="str">
        <f>A15</f>
        <v>Construção de Redes de Abastecimento de Água, Coleta de Esgoto</v>
      </c>
      <c r="B17" s="4" t="s">
        <v>6</v>
      </c>
      <c r="C17" s="1" t="str">
        <f t="shared" si="0"/>
        <v>Construção de Redes de Abastecimento de Água, Coleta de Esgoto-R</v>
      </c>
      <c r="E17" s="5">
        <v>0.01</v>
      </c>
      <c r="F17" s="5">
        <v>1.3899999999999999E-2</v>
      </c>
      <c r="G17" s="5">
        <v>1.7399999999999999E-2</v>
      </c>
      <c r="I17" s="35"/>
      <c r="J17" s="93"/>
      <c r="K17" s="94"/>
      <c r="L17" s="94"/>
      <c r="M17" s="95"/>
      <c r="N17" s="97"/>
      <c r="O17" s="99"/>
      <c r="P17" s="99"/>
      <c r="Q17" s="97"/>
      <c r="R17" s="97"/>
      <c r="S17" s="101"/>
      <c r="T17" s="36"/>
      <c r="U17" s="79"/>
      <c r="V17" s="79"/>
      <c r="W17" s="7"/>
      <c r="X17" s="7"/>
      <c r="Y17" s="7"/>
      <c r="Z17" s="7"/>
      <c r="AA17" s="7"/>
      <c r="AB17" s="7"/>
      <c r="AC17" s="7"/>
      <c r="AD17" s="7"/>
    </row>
    <row r="18" spans="1:32" ht="26.25" customHeight="1" x14ac:dyDescent="0.2">
      <c r="A18" s="1" t="str">
        <f>A17</f>
        <v>Construção de Redes de Abastecimento de Água, Coleta de Esgoto</v>
      </c>
      <c r="B18" s="4" t="s">
        <v>8</v>
      </c>
      <c r="C18" s="1" t="str">
        <f t="shared" si="0"/>
        <v>Construção de Redes de Abastecimento de Água, Coleta de Esgoto-DF</v>
      </c>
      <c r="E18" s="5">
        <v>9.3999999999999986E-3</v>
      </c>
      <c r="F18" s="5">
        <v>9.8999999999999991E-3</v>
      </c>
      <c r="G18" s="5">
        <v>1.1699999999999999E-2</v>
      </c>
      <c r="I18" s="35"/>
      <c r="J18" s="80" t="str">
        <f>IF($J$11=$A$64,"Encargos Sociais incidentes sobre a mão de obra","Administração Central")</f>
        <v>Administração Central</v>
      </c>
      <c r="K18" s="80"/>
      <c r="L18" s="80"/>
      <c r="M18" s="80"/>
      <c r="N18" s="44" t="str">
        <f>IF($J$11=$A$64,"K1","AC")</f>
        <v>AC</v>
      </c>
      <c r="O18" s="45">
        <v>4.6699999999999998E-2</v>
      </c>
      <c r="P18" s="46" t="s">
        <v>25</v>
      </c>
      <c r="Q18" s="47">
        <f>VLOOKUP(CONCATENATE(J$11,"-",N18),$C$2:$G$54,3,FALSE)</f>
        <v>3.7999999999999999E-2</v>
      </c>
      <c r="R18" s="47">
        <f>VLOOKUP(CONCATENATE(J$11,"-",N18),$C$2:$G$54,4,FALSE)</f>
        <v>4.0099999999999997E-2</v>
      </c>
      <c r="S18" s="47">
        <f>VLOOKUP(CONCATENATE(J$11,"-",N18),$C$2:$G$54,5,FALSE)</f>
        <v>4.6699999999999998E-2</v>
      </c>
      <c r="T18" s="36"/>
      <c r="U18" s="79"/>
      <c r="V18" s="79"/>
      <c r="W18" s="7"/>
      <c r="X18" s="7"/>
      <c r="Y18" s="7"/>
      <c r="Z18" s="7"/>
      <c r="AA18" s="7"/>
      <c r="AB18" s="7"/>
      <c r="AC18" s="7"/>
      <c r="AD18" s="7"/>
    </row>
    <row r="19" spans="1:32" ht="26.25" customHeight="1" x14ac:dyDescent="0.2">
      <c r="A19" s="1" t="str">
        <f>A18</f>
        <v>Construção de Redes de Abastecimento de Água, Coleta de Esgoto</v>
      </c>
      <c r="B19" s="4" t="s">
        <v>9</v>
      </c>
      <c r="C19" s="1" t="str">
        <f t="shared" si="0"/>
        <v>Construção de Redes de Abastecimento de Água, Coleta de Esgoto-L</v>
      </c>
      <c r="E19" s="5">
        <v>6.7400000000000002E-2</v>
      </c>
      <c r="F19" s="5">
        <v>8.0399999999999985E-2</v>
      </c>
      <c r="G19" s="5">
        <v>9.4E-2</v>
      </c>
      <c r="I19" s="35"/>
      <c r="J19" s="69" t="str">
        <f>IF($J$11=$A$64,"Administração Central da empresa ou consultoria - overhead","Seguro e Garantia")</f>
        <v>Seguro e Garantia</v>
      </c>
      <c r="K19" s="69"/>
      <c r="L19" s="69"/>
      <c r="M19" s="69"/>
      <c r="N19" s="8" t="str">
        <f>IF($J$11=$A$64,"K2","SG")</f>
        <v>SG</v>
      </c>
      <c r="O19" s="9">
        <v>7.4000000000000003E-3</v>
      </c>
      <c r="P19" s="10" t="s">
        <v>25</v>
      </c>
      <c r="Q19" s="11">
        <f>VLOOKUP(CONCATENATE(J$11,"-",N19),$C$2:$G$54,3,FALSE)</f>
        <v>3.2000000000000002E-3</v>
      </c>
      <c r="R19" s="11">
        <f>VLOOKUP(CONCATENATE(J$11,"-",N19),$C$2:$G$54,4,FALSE)</f>
        <v>4.0000000000000001E-3</v>
      </c>
      <c r="S19" s="11">
        <f>VLOOKUP(CONCATENATE(J$11,"-",N19),$C$2:$G$54,5,FALSE)</f>
        <v>7.4000000000000003E-3</v>
      </c>
      <c r="T19" s="36"/>
      <c r="U19" s="79"/>
      <c r="V19" s="79"/>
      <c r="W19" s="7"/>
      <c r="X19" s="7"/>
      <c r="Y19" s="7"/>
      <c r="Z19" s="7"/>
      <c r="AA19" s="7"/>
      <c r="AB19" s="7"/>
      <c r="AC19" s="7"/>
      <c r="AD19" s="7"/>
    </row>
    <row r="20" spans="1:32" ht="26.25" customHeight="1" x14ac:dyDescent="0.2">
      <c r="A20" s="1" t="str">
        <f>A19</f>
        <v>Construção de Redes de Abastecimento de Água, Coleta de Esgoto</v>
      </c>
      <c r="B20" s="6" t="s">
        <v>10</v>
      </c>
      <c r="C20" s="1" t="str">
        <f t="shared" si="0"/>
        <v>Construção de Redes de Abastecimento de Água, Coleta de Esgoto-BDI PAD</v>
      </c>
      <c r="E20" s="5">
        <v>0.20760000000000001</v>
      </c>
      <c r="F20" s="5">
        <v>0.24179999999999999</v>
      </c>
      <c r="G20" s="5">
        <v>0.26440000000000002</v>
      </c>
      <c r="I20" s="35"/>
      <c r="J20" s="69" t="str">
        <f>IF($J$11=$A$64,"","Risco")</f>
        <v>Risco</v>
      </c>
      <c r="K20" s="69"/>
      <c r="L20" s="69"/>
      <c r="M20" s="69"/>
      <c r="N20" s="8" t="str">
        <f>IF($J$11=$A$64,"","R")</f>
        <v>R</v>
      </c>
      <c r="O20" s="9">
        <v>9.7000000000000003E-3</v>
      </c>
      <c r="P20" s="10" t="s">
        <v>25</v>
      </c>
      <c r="Q20" s="11">
        <f>VLOOKUP(CONCATENATE(J$11,"-",N20),$C$2:$G$54,3,FALSE)</f>
        <v>5.0000000000000001E-3</v>
      </c>
      <c r="R20" s="11">
        <f>VLOOKUP(CONCATENATE(J$11,"-",N20),$C$2:$G$54,4,FALSE)</f>
        <v>5.6000000000000008E-3</v>
      </c>
      <c r="S20" s="11">
        <f>VLOOKUP(CONCATENATE(J$11,"-",N20),$C$2:$G$54,5,FALSE)</f>
        <v>9.7000000000000003E-3</v>
      </c>
      <c r="T20" s="36"/>
      <c r="U20" s="79"/>
      <c r="V20" s="79"/>
      <c r="W20" s="7"/>
      <c r="X20" s="7"/>
      <c r="Y20" s="7"/>
      <c r="Z20" s="7"/>
      <c r="AA20" s="7"/>
      <c r="AB20" s="7"/>
      <c r="AC20" s="7"/>
      <c r="AD20" s="7"/>
    </row>
    <row r="21" spans="1:32" ht="26.25" customHeight="1" x14ac:dyDescent="0.2">
      <c r="A21" s="1" t="s">
        <v>26</v>
      </c>
      <c r="B21" s="4" t="s">
        <v>4</v>
      </c>
      <c r="C21" s="1" t="str">
        <f t="shared" si="0"/>
        <v>Construção e Manutenção de Estações e Redes de Distribuição de Energia Elétrica-AC</v>
      </c>
      <c r="E21" s="5">
        <v>5.2900000000000003E-2</v>
      </c>
      <c r="F21" s="5">
        <v>5.9200000000000003E-2</v>
      </c>
      <c r="G21" s="5">
        <v>7.9299999999999995E-2</v>
      </c>
      <c r="I21" s="35"/>
      <c r="J21" s="69" t="str">
        <f>IF($J$11=$A$64,"","Despesas Financeiras")</f>
        <v>Despesas Financeiras</v>
      </c>
      <c r="K21" s="69"/>
      <c r="L21" s="69"/>
      <c r="M21" s="69"/>
      <c r="N21" s="8" t="str">
        <f>IF($J$11=$A$64,"","DF")</f>
        <v>DF</v>
      </c>
      <c r="O21" s="9">
        <v>1.21E-2</v>
      </c>
      <c r="P21" s="10" t="s">
        <v>25</v>
      </c>
      <c r="Q21" s="11">
        <f>VLOOKUP(CONCATENATE(J$11,"-",N21),$C$2:$G$54,3,FALSE)</f>
        <v>1.0200000000000001E-2</v>
      </c>
      <c r="R21" s="11">
        <f>VLOOKUP(CONCATENATE(J$11,"-",N21),$C$2:$G$54,4,FALSE)</f>
        <v>1.11E-2</v>
      </c>
      <c r="S21" s="11">
        <f>VLOOKUP(CONCATENATE(J$11,"-",N21),$C$2:$G$54,5,FALSE)</f>
        <v>1.21E-2</v>
      </c>
      <c r="T21" s="36"/>
      <c r="U21" s="79"/>
      <c r="V21" s="79"/>
    </row>
    <row r="22" spans="1:32" ht="26.25" customHeight="1" x14ac:dyDescent="0.2">
      <c r="A22" s="1" t="str">
        <f>A21</f>
        <v>Construção e Manutenção de Estações e Redes de Distribuição de Energia Elétrica</v>
      </c>
      <c r="B22" s="4" t="s">
        <v>5</v>
      </c>
      <c r="C22" s="1" t="str">
        <f t="shared" si="0"/>
        <v>Construção e Manutenção de Estações e Redes de Distribuição de Energia Elétrica-SG</v>
      </c>
      <c r="E22" s="5">
        <v>2.5000000000000001E-3</v>
      </c>
      <c r="F22" s="5">
        <v>5.1000000000000004E-3</v>
      </c>
      <c r="G22" s="5">
        <v>5.6000000000000008E-3</v>
      </c>
      <c r="I22" s="35"/>
      <c r="J22" s="69" t="str">
        <f>IF($J$11=$A$64,"Margem bruta da empresa de consultoria","Lucro")</f>
        <v>Lucro</v>
      </c>
      <c r="K22" s="69"/>
      <c r="L22" s="69"/>
      <c r="M22" s="69"/>
      <c r="N22" s="8" t="str">
        <f>IF($J$11=$A$64,"K3","L")</f>
        <v>L</v>
      </c>
      <c r="O22" s="9">
        <v>8.6900000000000005E-2</v>
      </c>
      <c r="P22" s="10" t="s">
        <v>25</v>
      </c>
      <c r="Q22" s="11">
        <f>VLOOKUP(CONCATENATE(J$11,"-",N22),$C$2:$G$54,3,FALSE)</f>
        <v>6.6400000000000001E-2</v>
      </c>
      <c r="R22" s="11">
        <f>VLOOKUP(CONCATENATE(J$11,"-",N22),$C$2:$G$54,4,FALSE)</f>
        <v>7.2999999999999995E-2</v>
      </c>
      <c r="S22" s="11">
        <f>VLOOKUP(CONCATENATE(J$11,"-",N22),$C$2:$G$54,5,FALSE)</f>
        <v>8.6899999999999991E-2</v>
      </c>
      <c r="T22" s="36"/>
      <c r="U22" s="79"/>
      <c r="V22" s="79"/>
    </row>
    <row r="23" spans="1:32" ht="26.25" customHeight="1" x14ac:dyDescent="0.2">
      <c r="A23" s="1" t="str">
        <f>A22</f>
        <v>Construção e Manutenção de Estações e Redes de Distribuição de Energia Elétrica</v>
      </c>
      <c r="B23" s="4" t="s">
        <v>6</v>
      </c>
      <c r="C23" s="1" t="str">
        <f t="shared" si="0"/>
        <v>Construção e Manutenção de Estações e Redes de Distribuição de Energia Elétrica-R</v>
      </c>
      <c r="E23" s="5">
        <v>0.01</v>
      </c>
      <c r="F23" s="5">
        <v>1.4800000000000001E-2</v>
      </c>
      <c r="G23" s="5">
        <v>1.9699999999999999E-2</v>
      </c>
      <c r="I23" s="35"/>
      <c r="J23" s="81" t="s">
        <v>27</v>
      </c>
      <c r="K23" s="81"/>
      <c r="L23" s="81"/>
      <c r="M23" s="81"/>
      <c r="N23" s="8" t="s">
        <v>28</v>
      </c>
      <c r="O23" s="9">
        <v>3.6499999999999998E-2</v>
      </c>
      <c r="P23" s="10" t="s">
        <v>25</v>
      </c>
      <c r="Q23" s="11">
        <v>3.6499999999999998E-2</v>
      </c>
      <c r="R23" s="11">
        <v>3.6499999999999998E-2</v>
      </c>
      <c r="S23" s="11">
        <v>3.6499999999999998E-2</v>
      </c>
      <c r="T23" s="36"/>
      <c r="U23" s="79"/>
      <c r="V23" s="79"/>
    </row>
    <row r="24" spans="1:32" ht="26.25" customHeight="1" x14ac:dyDescent="0.2">
      <c r="A24" s="1" t="str">
        <f>A23</f>
        <v>Construção e Manutenção de Estações e Redes de Distribuição de Energia Elétrica</v>
      </c>
      <c r="B24" s="4" t="s">
        <v>8</v>
      </c>
      <c r="C24" s="1" t="str">
        <f t="shared" si="0"/>
        <v>Construção e Manutenção de Estações e Redes de Distribuição de Energia Elétrica-DF</v>
      </c>
      <c r="E24" s="5">
        <v>1.01E-2</v>
      </c>
      <c r="F24" s="5">
        <v>1.0700000000000001E-2</v>
      </c>
      <c r="G24" s="5">
        <v>1.11E-2</v>
      </c>
      <c r="I24" s="35"/>
      <c r="J24" s="69" t="s">
        <v>29</v>
      </c>
      <c r="K24" s="69"/>
      <c r="L24" s="69"/>
      <c r="M24" s="69"/>
      <c r="N24" s="8" t="s">
        <v>30</v>
      </c>
      <c r="O24" s="11">
        <f>IF($J$11&lt;&gt;$A$63,R14*R13,0)</f>
        <v>5.4039999999999999E-3</v>
      </c>
      <c r="P24" s="10" t="s">
        <v>25</v>
      </c>
      <c r="Q24" s="11">
        <v>0</v>
      </c>
      <c r="R24" s="11">
        <v>2.5000000000000001E-2</v>
      </c>
      <c r="S24" s="11">
        <v>0.05</v>
      </c>
      <c r="T24" s="36"/>
      <c r="U24" s="79"/>
      <c r="V24" s="79"/>
    </row>
    <row r="25" spans="1:32" ht="26.25" customHeight="1" x14ac:dyDescent="0.2">
      <c r="A25" s="1" t="str">
        <f>A24</f>
        <v>Construção e Manutenção de Estações e Redes de Distribuição de Energia Elétrica</v>
      </c>
      <c r="B25" s="4" t="s">
        <v>9</v>
      </c>
      <c r="C25" s="1" t="str">
        <f t="shared" si="0"/>
        <v>Construção e Manutenção de Estações e Redes de Distribuição de Energia Elétrica-L</v>
      </c>
      <c r="E25" s="5">
        <v>0.08</v>
      </c>
      <c r="F25" s="5">
        <v>8.3100000000000007E-2</v>
      </c>
      <c r="G25" s="5">
        <v>9.5100000000000004E-2</v>
      </c>
      <c r="I25" s="35"/>
      <c r="J25" s="69" t="s">
        <v>31</v>
      </c>
      <c r="K25" s="69"/>
      <c r="L25" s="69"/>
      <c r="M25" s="69"/>
      <c r="N25" s="8" t="s">
        <v>32</v>
      </c>
      <c r="O25" s="11">
        <f>IF(AND($J$11&lt;&gt;$A$63,R11="Sim"),4.5%,0%)</f>
        <v>0</v>
      </c>
      <c r="P25" s="10" t="str">
        <f>IF(AND(O25&gt;=Q25, O25&lt;=S25), "OK", "Não OK")</f>
        <v>OK</v>
      </c>
      <c r="Q25" s="12">
        <v>0</v>
      </c>
      <c r="R25" s="12">
        <v>4.4999999999999998E-2</v>
      </c>
      <c r="S25" s="12">
        <v>4.4999999999999998E-2</v>
      </c>
      <c r="T25" s="36"/>
    </row>
    <row r="26" spans="1:32" ht="30.75" customHeight="1" x14ac:dyDescent="0.25">
      <c r="A26" s="1" t="str">
        <f>A25</f>
        <v>Construção e Manutenção de Estações e Redes de Distribuição de Energia Elétrica</v>
      </c>
      <c r="B26" s="6" t="s">
        <v>10</v>
      </c>
      <c r="C26" s="1" t="str">
        <f t="shared" si="0"/>
        <v>Construção e Manutenção de Estações e Redes de Distribuição de Energia Elétrica-BDI PAD</v>
      </c>
      <c r="E26" s="5">
        <v>0.24</v>
      </c>
      <c r="F26" s="5">
        <v>0.25840000000000002</v>
      </c>
      <c r="G26" s="5">
        <v>0.27860000000000001</v>
      </c>
      <c r="I26" s="35"/>
      <c r="J26" s="69" t="s">
        <v>33</v>
      </c>
      <c r="K26" s="69"/>
      <c r="L26" s="69"/>
      <c r="M26" s="69"/>
      <c r="N26" s="13" t="s">
        <v>10</v>
      </c>
      <c r="O26" s="11">
        <f>IF($J$11=$A$63,0,ROUND((((1+O18+O19+O20)*(1+O21)*(1+O22)/(1-(O23+O24)))-1),4))</f>
        <v>0.22140000000000001</v>
      </c>
      <c r="P26" s="28" t="str">
        <f>IF(OR($J$11=$A$64,$J$11=$A$63,AND(O26&gt;=Q26, O26&lt;=S26)), "OK", "FORA DO INTERVALO")</f>
        <v>OK</v>
      </c>
      <c r="Q26" s="11">
        <f>IF($J$11=$A$63,0,VLOOKUP(CONCATENATE($J$11,"-",$N26),$C$2:$G$54,3,FALSE))</f>
        <v>0.19600000000000001</v>
      </c>
      <c r="R26" s="11">
        <f>IF($J$11=$A$63,0,VLOOKUP(CONCATENATE($J$11,"-",$N26),$C$2:$G$54,4,FALSE))</f>
        <v>0.2097</v>
      </c>
      <c r="S26" s="11">
        <f>IF($J$11=$A$63,0,VLOOKUP(CONCATENATE($J$11,"-",$N26),$C$2:$G$54,5,FALSE))</f>
        <v>0.24230000000000002</v>
      </c>
      <c r="T26" s="36"/>
      <c r="U26" s="14"/>
      <c r="W26" s="7"/>
      <c r="X26" s="7"/>
      <c r="Y26" s="7"/>
      <c r="Z26" s="7"/>
      <c r="AA26" s="7"/>
      <c r="AB26" s="7"/>
      <c r="AC26" s="7"/>
      <c r="AD26" s="7"/>
      <c r="AE26" s="7"/>
      <c r="AF26" s="7"/>
    </row>
    <row r="27" spans="1:32" ht="30" customHeight="1" x14ac:dyDescent="0.25">
      <c r="A27" s="1" t="s">
        <v>34</v>
      </c>
      <c r="B27" s="4" t="s">
        <v>4</v>
      </c>
      <c r="C27" s="1" t="str">
        <f t="shared" si="0"/>
        <v>Obras Portuárias, Marítimas e Fluviais-AC</v>
      </c>
      <c r="E27" s="5">
        <v>0.04</v>
      </c>
      <c r="F27" s="5">
        <v>5.5199999999999999E-2</v>
      </c>
      <c r="G27" s="5">
        <v>7.85E-2</v>
      </c>
      <c r="I27" s="35"/>
      <c r="J27" s="70" t="s">
        <v>35</v>
      </c>
      <c r="K27" s="70"/>
      <c r="L27" s="70"/>
      <c r="M27" s="70"/>
      <c r="N27" s="48" t="s">
        <v>36</v>
      </c>
      <c r="O27" s="49">
        <f>IF($J$11=$A$63,0,ROUND((((1+O18+O19+O20)*(1+O21)*(1+O22)/(1-(O23+O24+O25)))-1),4))</f>
        <v>0.22140000000000001</v>
      </c>
      <c r="P27" s="28" t="str">
        <f>IF(R11&lt;&gt;"Sim","",P26)</f>
        <v/>
      </c>
      <c r="Q27" s="71"/>
      <c r="R27" s="71"/>
      <c r="S27" s="71"/>
      <c r="T27" s="36"/>
      <c r="U27" s="14"/>
      <c r="W27" s="15" t="b">
        <f>AND(COUNTA(O18:O23)=6,P26&lt;&gt;"ok",NOT(W29))</f>
        <v>0</v>
      </c>
      <c r="X27" s="1" t="s">
        <v>37</v>
      </c>
    </row>
    <row r="28" spans="1:32" ht="7.5" customHeight="1" x14ac:dyDescent="0.2">
      <c r="A28" s="1" t="str">
        <f>A27</f>
        <v>Obras Portuárias, Marítimas e Fluviais</v>
      </c>
      <c r="B28" s="4" t="s">
        <v>5</v>
      </c>
      <c r="C28" s="1" t="str">
        <f t="shared" si="0"/>
        <v>Obras Portuárias, Marítimas e Fluviais-SG</v>
      </c>
      <c r="E28" s="5">
        <v>8.1000000000000013E-3</v>
      </c>
      <c r="F28" s="5">
        <v>1.2199999999999999E-2</v>
      </c>
      <c r="G28" s="5">
        <v>1.9900000000000001E-2</v>
      </c>
      <c r="I28" s="35"/>
      <c r="T28" s="36"/>
      <c r="W28" s="15"/>
    </row>
    <row r="29" spans="1:32" ht="21.75" customHeight="1" x14ac:dyDescent="0.2">
      <c r="A29" s="1" t="str">
        <f>A28</f>
        <v>Obras Portuárias, Marítimas e Fluviais</v>
      </c>
      <c r="B29" s="4" t="s">
        <v>6</v>
      </c>
      <c r="C29" s="1" t="str">
        <f t="shared" si="0"/>
        <v>Obras Portuárias, Marítimas e Fluviais-R</v>
      </c>
      <c r="E29" s="5">
        <v>1.46E-2</v>
      </c>
      <c r="F29" s="5">
        <v>2.3199999999999998E-2</v>
      </c>
      <c r="G29" s="5">
        <v>3.1600000000000003E-2</v>
      </c>
      <c r="I29" s="35"/>
      <c r="J29" s="16" t="str">
        <f>IF(W29,"X","")</f>
        <v/>
      </c>
      <c r="K29" s="72" t="s">
        <v>38</v>
      </c>
      <c r="L29" s="72"/>
      <c r="M29" s="72"/>
      <c r="N29" s="72"/>
      <c r="O29" s="72"/>
      <c r="P29" s="72"/>
      <c r="Q29" s="72"/>
      <c r="R29" s="72"/>
      <c r="S29" s="72"/>
      <c r="T29" s="36"/>
      <c r="W29" s="15" t="b">
        <v>0</v>
      </c>
      <c r="X29" s="1" t="s">
        <v>39</v>
      </c>
    </row>
    <row r="30" spans="1:32" ht="7.5" customHeight="1" x14ac:dyDescent="0.2">
      <c r="B30" s="4"/>
      <c r="E30" s="5"/>
      <c r="F30" s="5"/>
      <c r="G30" s="5"/>
      <c r="I30" s="35"/>
      <c r="T30" s="36"/>
      <c r="W30" s="15"/>
    </row>
    <row r="31" spans="1:32" ht="18.75" customHeight="1" x14ac:dyDescent="0.2">
      <c r="B31" s="4"/>
      <c r="E31" s="5"/>
      <c r="F31" s="5"/>
      <c r="G31" s="5"/>
      <c r="I31" s="35"/>
      <c r="J31" s="73" t="s">
        <v>40</v>
      </c>
      <c r="K31" s="73"/>
      <c r="L31" s="73"/>
      <c r="M31" s="73"/>
      <c r="N31" s="73"/>
      <c r="O31" s="73"/>
      <c r="P31" s="73"/>
      <c r="Q31" s="73"/>
      <c r="R31" s="73"/>
      <c r="S31" s="73"/>
      <c r="T31" s="36"/>
    </row>
    <row r="32" spans="1:32" ht="30" customHeight="1" x14ac:dyDescent="0.25">
      <c r="A32" s="1" t="str">
        <f>A29</f>
        <v>Obras Portuárias, Marítimas e Fluviais</v>
      </c>
      <c r="B32" s="4" t="s">
        <v>8</v>
      </c>
      <c r="C32" s="1" t="str">
        <f t="shared" si="0"/>
        <v>Obras Portuárias, Marítimas e Fluviais-DF</v>
      </c>
      <c r="E32" s="5">
        <v>9.3999999999999986E-3</v>
      </c>
      <c r="F32" s="5">
        <v>1.0200000000000001E-2</v>
      </c>
      <c r="G32" s="5">
        <v>1.3300000000000001E-2</v>
      </c>
      <c r="I32" s="35"/>
      <c r="J32" s="17"/>
      <c r="K32" s="17"/>
      <c r="L32" s="17"/>
      <c r="M32" s="74" t="str">
        <f>IF(R11="Sim","BDI.DES =","BDI.PAD =")</f>
        <v>BDI.PAD =</v>
      </c>
      <c r="N32" s="75" t="str">
        <f>IF($J$11=$A$64,"(1+K1+K2)*(1+K3)","(1+AC + S + R + G)*(1 + DF)*(1+L)")</f>
        <v>(1+AC + S + R + G)*(1 + DF)*(1+L)</v>
      </c>
      <c r="O32" s="75"/>
      <c r="P32" s="75"/>
      <c r="Q32" s="76" t="s">
        <v>41</v>
      </c>
      <c r="R32" s="17"/>
      <c r="S32" s="17"/>
      <c r="T32" s="36"/>
    </row>
    <row r="33" spans="1:20" ht="15.75" x14ac:dyDescent="0.2">
      <c r="A33" s="1" t="str">
        <f>A32</f>
        <v>Obras Portuárias, Marítimas e Fluviais</v>
      </c>
      <c r="B33" s="4" t="s">
        <v>9</v>
      </c>
      <c r="C33" s="1" t="str">
        <f t="shared" si="0"/>
        <v>Obras Portuárias, Marítimas e Fluviais-L</v>
      </c>
      <c r="E33" s="5">
        <v>7.1399999999999991E-2</v>
      </c>
      <c r="F33" s="5">
        <v>8.4000000000000005E-2</v>
      </c>
      <c r="G33" s="5">
        <v>0.1043</v>
      </c>
      <c r="I33" s="35"/>
      <c r="J33" s="17"/>
      <c r="K33" s="17"/>
      <c r="L33" s="17"/>
      <c r="M33" s="74"/>
      <c r="N33" s="78" t="str">
        <f>IF(R11="Sim","(1-CP-ISS-CRPB)","(1-CP-ISS)")</f>
        <v>(1-CP-ISS)</v>
      </c>
      <c r="O33" s="78"/>
      <c r="P33" s="78"/>
      <c r="Q33" s="77"/>
      <c r="R33" s="17"/>
      <c r="S33" s="17"/>
      <c r="T33" s="36"/>
    </row>
    <row r="34" spans="1:20" ht="13.5" thickBot="1" x14ac:dyDescent="0.25">
      <c r="A34" s="1" t="str">
        <f>A33</f>
        <v>Obras Portuárias, Marítimas e Fluviais</v>
      </c>
      <c r="B34" s="6" t="s">
        <v>10</v>
      </c>
      <c r="C34" s="1" t="str">
        <f t="shared" si="0"/>
        <v>Obras Portuárias, Marítimas e Fluviais-BDI PAD</v>
      </c>
      <c r="E34" s="5">
        <v>0.22800000000000001</v>
      </c>
      <c r="F34" s="5">
        <v>0.27479999999999999</v>
      </c>
      <c r="G34" s="5">
        <v>0.3095</v>
      </c>
      <c r="I34" s="35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36"/>
    </row>
    <row r="35" spans="1:20" ht="46.5" customHeight="1" thickBot="1" x14ac:dyDescent="0.25">
      <c r="B35" s="6"/>
      <c r="E35" s="5"/>
      <c r="F35" s="5"/>
      <c r="G35" s="5"/>
      <c r="I35" s="35"/>
      <c r="J35" s="66" t="str">
        <f>CONCATENATE("Declaro para os devidos fins que, conforme legislação tributária municipal, a base de cálculo para ",J11,", é de ",R13*100,"%, com a respectiva alíquota de ",R14*100,"%.")</f>
        <v>Declaro para os devidos fins que, conforme legislação tributária municipal, a base de cálculo para Construção de Praças Urbanas, Rodovias, Ferrovias e recapeamento e pavimentação de vias urbanas, é de 27,02%, com a respectiva alíquota de 2%.</v>
      </c>
      <c r="K35" s="67"/>
      <c r="L35" s="67"/>
      <c r="M35" s="67"/>
      <c r="N35" s="67"/>
      <c r="O35" s="67"/>
      <c r="P35" s="67"/>
      <c r="Q35" s="67"/>
      <c r="R35" s="67"/>
      <c r="S35" s="68"/>
      <c r="T35" s="36"/>
    </row>
    <row r="36" spans="1:20" ht="13.5" thickBot="1" x14ac:dyDescent="0.25">
      <c r="B36" s="6"/>
      <c r="E36" s="5"/>
      <c r="F36" s="5"/>
      <c r="G36" s="5"/>
      <c r="I36" s="35"/>
      <c r="T36" s="36"/>
    </row>
    <row r="37" spans="1:20" ht="44.25" customHeight="1" thickBot="1" x14ac:dyDescent="0.25">
      <c r="B37" s="6"/>
      <c r="E37" s="5"/>
      <c r="F37" s="5"/>
      <c r="G37" s="5"/>
      <c r="I37" s="35"/>
      <c r="J37" s="66" t="str">
        <f>CONCATENATE("Declaro para os devidos fins que o regime de Contribuição Previdenciária sobre a Receita Bruta adotado para elaboração do orçamento foi ",IF(R11="Sim","COM","SEM")," Desoneração, e que esta é a alternativa mais adequada para a Administração Pública.")</f>
        <v>Declaro para os devidos fins que o regime de Contribuição Previdenciária sobre a Receita Bruta adotado para elaboração do orçamento foi SEM Desoneração, e que esta é a alternativa mais adequada para a Administração Pública.</v>
      </c>
      <c r="K37" s="67"/>
      <c r="L37" s="67"/>
      <c r="M37" s="67"/>
      <c r="N37" s="67"/>
      <c r="O37" s="67"/>
      <c r="P37" s="67"/>
      <c r="Q37" s="67"/>
      <c r="R37" s="67"/>
      <c r="S37" s="68"/>
      <c r="T37" s="36"/>
    </row>
    <row r="38" spans="1:20" x14ac:dyDescent="0.2">
      <c r="A38" s="1" t="s">
        <v>42</v>
      </c>
      <c r="B38" s="4" t="s">
        <v>4</v>
      </c>
      <c r="C38" s="1" t="str">
        <f t="shared" si="0"/>
        <v>Fornecimento de Materiais e Equipamentos (aquisição indireta - em conjunto com licitação de obras)-AC</v>
      </c>
      <c r="E38" s="5">
        <v>1.4999999999999999E-2</v>
      </c>
      <c r="F38" s="5">
        <v>3.4500000000000003E-2</v>
      </c>
      <c r="G38" s="5">
        <v>4.4900000000000002E-2</v>
      </c>
      <c r="I38" s="35"/>
      <c r="T38" s="36"/>
    </row>
    <row r="39" spans="1:20" ht="13.5" thickBot="1" x14ac:dyDescent="0.25">
      <c r="A39" s="1" t="str">
        <f>A38</f>
        <v>Fornecimento de Materiais e Equipamentos (aquisição indireta - em conjunto com licitação de obras)</v>
      </c>
      <c r="B39" s="4" t="s">
        <v>5</v>
      </c>
      <c r="C39" s="1" t="str">
        <f t="shared" si="0"/>
        <v>Fornecimento de Materiais e Equipamentos (aquisição indireta - em conjunto com licitação de obras)-SG</v>
      </c>
      <c r="E39" s="5">
        <v>3.0000000000000001E-3</v>
      </c>
      <c r="F39" s="5">
        <v>4.7999999999999996E-3</v>
      </c>
      <c r="G39" s="5">
        <v>8.199999999999999E-3</v>
      </c>
      <c r="I39" s="35"/>
      <c r="J39" s="1" t="s">
        <v>43</v>
      </c>
      <c r="T39" s="36"/>
    </row>
    <row r="40" spans="1:20" ht="13.5" thickBot="1" x14ac:dyDescent="0.25">
      <c r="A40" s="1" t="str">
        <f>A39</f>
        <v>Fornecimento de Materiais e Equipamentos (aquisição indireta - em conjunto com licitação de obras)</v>
      </c>
      <c r="B40" s="4" t="s">
        <v>6</v>
      </c>
      <c r="C40" s="1" t="str">
        <f t="shared" si="0"/>
        <v>Fornecimento de Materiais e Equipamentos (aquisição indireta - em conjunto com licitação de obras)-R</v>
      </c>
      <c r="E40" s="5">
        <v>5.6000000000000008E-3</v>
      </c>
      <c r="F40" s="5">
        <v>8.5000000000000006E-3</v>
      </c>
      <c r="G40" s="5">
        <v>8.8999999999999999E-3</v>
      </c>
      <c r="I40" s="35"/>
      <c r="J40" s="59"/>
      <c r="K40" s="60"/>
      <c r="L40" s="60"/>
      <c r="M40" s="60"/>
      <c r="N40" s="60"/>
      <c r="O40" s="60"/>
      <c r="P40" s="60"/>
      <c r="Q40" s="60"/>
      <c r="R40" s="60"/>
      <c r="S40" s="61"/>
      <c r="T40" s="36"/>
    </row>
    <row r="41" spans="1:20" x14ac:dyDescent="0.2">
      <c r="A41" s="1" t="str">
        <f>A40</f>
        <v>Fornecimento de Materiais e Equipamentos (aquisição indireta - em conjunto com licitação de obras)</v>
      </c>
      <c r="B41" s="4" t="s">
        <v>8</v>
      </c>
      <c r="C41" s="1" t="str">
        <f t="shared" si="0"/>
        <v>Fornecimento de Materiais e Equipamentos (aquisição indireta - em conjunto com licitação de obras)-DF</v>
      </c>
      <c r="E41" s="5">
        <v>8.5000000000000006E-3</v>
      </c>
      <c r="F41" s="5">
        <v>8.5000000000000006E-3</v>
      </c>
      <c r="G41" s="5">
        <v>1.11E-2</v>
      </c>
      <c r="I41" s="35"/>
      <c r="T41" s="36"/>
    </row>
    <row r="42" spans="1:20" x14ac:dyDescent="0.2">
      <c r="A42" s="1" t="str">
        <f>A41</f>
        <v>Fornecimento de Materiais e Equipamentos (aquisição indireta - em conjunto com licitação de obras)</v>
      </c>
      <c r="B42" s="4" t="s">
        <v>9</v>
      </c>
      <c r="C42" s="1" t="str">
        <f t="shared" si="0"/>
        <v>Fornecimento de Materiais e Equipamentos (aquisição indireta - em conjunto com licitação de obras)-L</v>
      </c>
      <c r="E42" s="5">
        <v>3.5000000000000003E-2</v>
      </c>
      <c r="F42" s="5">
        <v>5.1100000000000007E-2</v>
      </c>
      <c r="G42" s="5">
        <v>6.2199999999999998E-2</v>
      </c>
      <c r="I42" s="35"/>
      <c r="J42" s="62" t="s">
        <v>60</v>
      </c>
      <c r="K42" s="62"/>
      <c r="L42" s="62"/>
      <c r="M42" s="62"/>
      <c r="P42" s="63">
        <v>45063</v>
      </c>
      <c r="Q42" s="63"/>
      <c r="R42" s="63"/>
      <c r="S42" s="63"/>
      <c r="T42" s="36"/>
    </row>
    <row r="43" spans="1:20" x14ac:dyDescent="0.2">
      <c r="A43" s="1" t="str">
        <f>A42</f>
        <v>Fornecimento de Materiais e Equipamentos (aquisição indireta - em conjunto com licitação de obras)</v>
      </c>
      <c r="B43" s="6" t="s">
        <v>10</v>
      </c>
      <c r="C43" s="1" t="str">
        <f t="shared" si="0"/>
        <v>Fornecimento de Materiais e Equipamentos (aquisição indireta - em conjunto com licitação de obras)-BDI PAD</v>
      </c>
      <c r="E43" s="5">
        <v>0.111</v>
      </c>
      <c r="F43" s="5">
        <v>0.14019999999999999</v>
      </c>
      <c r="G43" s="5">
        <v>0.16800000000000001</v>
      </c>
      <c r="I43" s="35"/>
      <c r="J43" s="64" t="s">
        <v>44</v>
      </c>
      <c r="K43" s="64"/>
      <c r="L43" s="64"/>
      <c r="M43" s="64"/>
      <c r="O43" s="30"/>
      <c r="P43" s="19" t="s">
        <v>45</v>
      </c>
      <c r="Q43" s="20"/>
      <c r="R43" s="20"/>
      <c r="S43" s="20"/>
      <c r="T43" s="36"/>
    </row>
    <row r="44" spans="1:20" x14ac:dyDescent="0.2">
      <c r="B44" s="6"/>
      <c r="E44" s="5"/>
      <c r="F44" s="5"/>
      <c r="G44" s="5"/>
      <c r="I44" s="35"/>
      <c r="J44" s="27"/>
      <c r="K44" s="27"/>
      <c r="L44" s="27"/>
      <c r="M44" s="27"/>
      <c r="O44" s="30"/>
      <c r="P44" s="43"/>
      <c r="T44" s="36"/>
    </row>
    <row r="45" spans="1:20" x14ac:dyDescent="0.2">
      <c r="B45" s="6"/>
      <c r="E45" s="5"/>
      <c r="F45" s="5"/>
      <c r="G45" s="5"/>
      <c r="I45" s="35"/>
      <c r="J45" s="27"/>
      <c r="K45" s="27"/>
      <c r="L45" s="27"/>
      <c r="M45" s="27"/>
      <c r="O45" s="30"/>
      <c r="P45" s="43"/>
      <c r="T45" s="36"/>
    </row>
    <row r="46" spans="1:20" x14ac:dyDescent="0.2">
      <c r="B46" s="6"/>
      <c r="E46" s="5"/>
      <c r="F46" s="5"/>
      <c r="G46" s="5"/>
      <c r="I46" s="35"/>
      <c r="J46" s="27"/>
      <c r="K46" s="27"/>
      <c r="L46" s="27"/>
      <c r="M46" s="27"/>
      <c r="O46" s="30"/>
      <c r="P46" s="43"/>
      <c r="T46" s="36"/>
    </row>
    <row r="47" spans="1:20" x14ac:dyDescent="0.2">
      <c r="B47" s="6"/>
      <c r="E47" s="5"/>
      <c r="F47" s="5"/>
      <c r="G47" s="5"/>
      <c r="I47" s="35"/>
      <c r="J47" s="27"/>
      <c r="K47" s="27"/>
      <c r="L47" s="27"/>
      <c r="M47" s="27"/>
      <c r="O47" s="30"/>
      <c r="P47" s="43"/>
      <c r="T47" s="36"/>
    </row>
    <row r="48" spans="1:20" x14ac:dyDescent="0.2">
      <c r="B48" s="6"/>
      <c r="E48" s="5"/>
      <c r="F48" s="5"/>
      <c r="G48" s="5"/>
      <c r="I48" s="35"/>
      <c r="J48" s="27"/>
      <c r="K48" s="27"/>
      <c r="L48" s="27"/>
      <c r="M48" s="27"/>
      <c r="O48" s="30"/>
      <c r="P48" s="43"/>
      <c r="T48" s="36"/>
    </row>
    <row r="49" spans="1:20" x14ac:dyDescent="0.2">
      <c r="A49" s="1" t="s">
        <v>46</v>
      </c>
      <c r="B49" s="4" t="s">
        <v>47</v>
      </c>
      <c r="C49" s="1" t="str">
        <f t="shared" si="0"/>
        <v>Estudos e Projetos, Planos e Gerenciamento e outros correlatos-K1</v>
      </c>
      <c r="E49" s="5" t="s">
        <v>25</v>
      </c>
      <c r="F49" s="5" t="s">
        <v>25</v>
      </c>
      <c r="G49" s="5" t="s">
        <v>25</v>
      </c>
      <c r="I49" s="35"/>
      <c r="T49" s="36"/>
    </row>
    <row r="50" spans="1:20" ht="15" x14ac:dyDescent="0.2">
      <c r="A50" s="1" t="str">
        <f>A49</f>
        <v>Estudos e Projetos, Planos e Gerenciamento e outros correlatos</v>
      </c>
      <c r="B50" s="4" t="s">
        <v>48</v>
      </c>
      <c r="C50" s="1" t="str">
        <f t="shared" si="0"/>
        <v>Estudos e Projetos, Planos e Gerenciamento e outros correlatos-K2</v>
      </c>
      <c r="E50" s="5" t="s">
        <v>25</v>
      </c>
      <c r="F50" s="5">
        <v>0.2</v>
      </c>
      <c r="G50" s="5" t="s">
        <v>25</v>
      </c>
      <c r="I50" s="35"/>
      <c r="J50" s="65"/>
      <c r="K50" s="65"/>
      <c r="L50" s="65"/>
      <c r="M50" s="65"/>
      <c r="N50" s="21"/>
      <c r="O50" s="21"/>
      <c r="P50" s="65"/>
      <c r="Q50" s="65"/>
      <c r="R50" s="65"/>
      <c r="S50" s="65"/>
      <c r="T50" s="36"/>
    </row>
    <row r="51" spans="1:20" x14ac:dyDescent="0.2">
      <c r="A51" s="1" t="str">
        <f>A50</f>
        <v>Estudos e Projetos, Planos e Gerenciamento e outros correlatos</v>
      </c>
      <c r="B51" s="4" t="s">
        <v>49</v>
      </c>
      <c r="C51" s="1" t="str">
        <f t="shared" si="0"/>
        <v>Estudos e Projetos, Planos e Gerenciamento e outros correlatos-</v>
      </c>
      <c r="E51" s="5" t="s">
        <v>25</v>
      </c>
      <c r="F51" s="5" t="s">
        <v>25</v>
      </c>
      <c r="G51" s="5" t="s">
        <v>25</v>
      </c>
      <c r="I51" s="35"/>
      <c r="J51" s="57" t="s">
        <v>50</v>
      </c>
      <c r="K51" s="57"/>
      <c r="L51" s="57"/>
      <c r="M51" s="57"/>
      <c r="P51" s="57" t="s">
        <v>51</v>
      </c>
      <c r="Q51" s="57"/>
      <c r="R51" s="57"/>
      <c r="S51" s="57"/>
      <c r="T51" s="36"/>
    </row>
    <row r="52" spans="1:20" ht="14.25" x14ac:dyDescent="0.2">
      <c r="A52" s="1" t="str">
        <f>A51</f>
        <v>Estudos e Projetos, Planos e Gerenciamento e outros correlatos</v>
      </c>
      <c r="B52" s="4" t="s">
        <v>49</v>
      </c>
      <c r="C52" s="1" t="str">
        <f t="shared" si="0"/>
        <v>Estudos e Projetos, Planos e Gerenciamento e outros correlatos-</v>
      </c>
      <c r="E52" s="5" t="s">
        <v>25</v>
      </c>
      <c r="F52" s="5" t="s">
        <v>25</v>
      </c>
      <c r="G52" s="5" t="s">
        <v>25</v>
      </c>
      <c r="I52" s="35"/>
      <c r="J52" s="22" t="s">
        <v>52</v>
      </c>
      <c r="K52" s="50" t="s">
        <v>61</v>
      </c>
      <c r="L52" s="50"/>
      <c r="M52" s="50"/>
      <c r="N52" s="21"/>
      <c r="O52" s="21"/>
      <c r="P52" s="22" t="s">
        <v>52</v>
      </c>
      <c r="Q52" s="58" t="s">
        <v>64</v>
      </c>
      <c r="R52" s="58"/>
      <c r="S52" s="58"/>
      <c r="T52" s="36"/>
    </row>
    <row r="53" spans="1:20" ht="14.25" x14ac:dyDescent="0.2">
      <c r="A53" s="1" t="str">
        <f>A52</f>
        <v>Estudos e Projetos, Planos e Gerenciamento e outros correlatos</v>
      </c>
      <c r="B53" s="4" t="s">
        <v>53</v>
      </c>
      <c r="C53" s="1" t="str">
        <f t="shared" si="0"/>
        <v>Estudos e Projetos, Planos e Gerenciamento e outros correlatos-K3</v>
      </c>
      <c r="E53" s="5" t="s">
        <v>25</v>
      </c>
      <c r="F53" s="5">
        <v>0.12</v>
      </c>
      <c r="G53" s="5" t="s">
        <v>25</v>
      </c>
      <c r="I53" s="35"/>
      <c r="J53" s="22" t="s">
        <v>54</v>
      </c>
      <c r="K53" s="50" t="s">
        <v>62</v>
      </c>
      <c r="L53" s="50"/>
      <c r="M53" s="50"/>
      <c r="N53" s="21"/>
      <c r="O53" s="21"/>
      <c r="P53" s="22" t="s">
        <v>55</v>
      </c>
      <c r="Q53" s="58" t="s">
        <v>65</v>
      </c>
      <c r="R53" s="58"/>
      <c r="S53" s="58"/>
      <c r="T53" s="36"/>
    </row>
    <row r="54" spans="1:20" ht="14.25" x14ac:dyDescent="0.2">
      <c r="A54" s="1" t="str">
        <f>A53</f>
        <v>Estudos e Projetos, Planos e Gerenciamento e outros correlatos</v>
      </c>
      <c r="B54" s="6" t="s">
        <v>10</v>
      </c>
      <c r="C54" s="1" t="str">
        <f t="shared" si="0"/>
        <v>Estudos e Projetos, Planos e Gerenciamento e outros correlatos-BDI PAD</v>
      </c>
      <c r="E54" s="5" t="s">
        <v>25</v>
      </c>
      <c r="F54" s="5" t="s">
        <v>25</v>
      </c>
      <c r="G54" s="5" t="s">
        <v>25</v>
      </c>
      <c r="I54" s="35"/>
      <c r="J54" s="22" t="str">
        <f>[1]DADOS!A56</f>
        <v>CREA/CAU:</v>
      </c>
      <c r="K54" s="50" t="s">
        <v>63</v>
      </c>
      <c r="L54" s="50"/>
      <c r="M54" s="50"/>
      <c r="N54" s="21"/>
      <c r="O54" s="21"/>
      <c r="P54" s="21"/>
      <c r="Q54" s="21"/>
      <c r="R54" s="21"/>
      <c r="S54" s="21"/>
      <c r="T54" s="36"/>
    </row>
    <row r="55" spans="1:20" x14ac:dyDescent="0.2">
      <c r="I55" s="35"/>
      <c r="J55" s="22" t="str">
        <f>[1]DADOS!A57</f>
        <v>ART/RRT:</v>
      </c>
      <c r="K55" s="50">
        <v>12668470</v>
      </c>
      <c r="L55" s="50"/>
      <c r="M55" s="50"/>
      <c r="T55" s="36"/>
    </row>
    <row r="56" spans="1:20" ht="13.5" thickBot="1" x14ac:dyDescent="0.25">
      <c r="I56" s="40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2"/>
    </row>
    <row r="57" spans="1:20" x14ac:dyDescent="0.2">
      <c r="A57" s="1" t="s">
        <v>3</v>
      </c>
    </row>
    <row r="58" spans="1:20" x14ac:dyDescent="0.2">
      <c r="A58" s="1" t="s">
        <v>12</v>
      </c>
    </row>
    <row r="59" spans="1:20" x14ac:dyDescent="0.2">
      <c r="A59" s="1" t="s">
        <v>16</v>
      </c>
    </row>
    <row r="60" spans="1:20" x14ac:dyDescent="0.2">
      <c r="A60" s="1" t="s">
        <v>26</v>
      </c>
    </row>
    <row r="61" spans="1:20" x14ac:dyDescent="0.2">
      <c r="A61" s="1" t="s">
        <v>34</v>
      </c>
    </row>
    <row r="62" spans="1:20" x14ac:dyDescent="0.2">
      <c r="A62" s="1" t="s">
        <v>42</v>
      </c>
    </row>
    <row r="63" spans="1:20" x14ac:dyDescent="0.2">
      <c r="A63" s="1" t="s">
        <v>56</v>
      </c>
    </row>
    <row r="64" spans="1:20" x14ac:dyDescent="0.2">
      <c r="A64" s="1" t="s">
        <v>46</v>
      </c>
    </row>
    <row r="65" spans="1:7" ht="14.25" x14ac:dyDescent="0.2">
      <c r="A65" s="23"/>
      <c r="B65" s="21"/>
      <c r="C65" s="21"/>
      <c r="D65" s="21"/>
      <c r="E65" s="21"/>
      <c r="F65" s="21"/>
      <c r="G65" s="21"/>
    </row>
  </sheetData>
  <mergeCells count="53">
    <mergeCell ref="J7:S7"/>
    <mergeCell ref="J8:S8"/>
    <mergeCell ref="J10:Q10"/>
    <mergeCell ref="R10:S10"/>
    <mergeCell ref="J11:Q11"/>
    <mergeCell ref="R11:S11"/>
    <mergeCell ref="J13:Q13"/>
    <mergeCell ref="R13:S13"/>
    <mergeCell ref="J14:Q14"/>
    <mergeCell ref="R14:S14"/>
    <mergeCell ref="J16:M17"/>
    <mergeCell ref="N16:N17"/>
    <mergeCell ref="O16:O17"/>
    <mergeCell ref="P16:P17"/>
    <mergeCell ref="Q16:Q17"/>
    <mergeCell ref="R16:R17"/>
    <mergeCell ref="S16:S17"/>
    <mergeCell ref="U16:V24"/>
    <mergeCell ref="J18:M18"/>
    <mergeCell ref="J19:M19"/>
    <mergeCell ref="J20:M20"/>
    <mergeCell ref="J21:M21"/>
    <mergeCell ref="J22:M22"/>
    <mergeCell ref="J23:M23"/>
    <mergeCell ref="J24:M24"/>
    <mergeCell ref="J37:S37"/>
    <mergeCell ref="J25:M25"/>
    <mergeCell ref="J26:M26"/>
    <mergeCell ref="J27:M27"/>
    <mergeCell ref="Q27:S27"/>
    <mergeCell ref="K29:S29"/>
    <mergeCell ref="J31:S31"/>
    <mergeCell ref="M32:M33"/>
    <mergeCell ref="N32:P32"/>
    <mergeCell ref="Q32:Q33"/>
    <mergeCell ref="N33:P33"/>
    <mergeCell ref="J35:S35"/>
    <mergeCell ref="K54:M54"/>
    <mergeCell ref="K55:M55"/>
    <mergeCell ref="J4:S4"/>
    <mergeCell ref="J5:S5"/>
    <mergeCell ref="J51:M51"/>
    <mergeCell ref="P51:S51"/>
    <mergeCell ref="K52:M52"/>
    <mergeCell ref="Q52:S52"/>
    <mergeCell ref="K53:M53"/>
    <mergeCell ref="Q53:S53"/>
    <mergeCell ref="J40:S40"/>
    <mergeCell ref="J42:M42"/>
    <mergeCell ref="P42:S42"/>
    <mergeCell ref="J43:M43"/>
    <mergeCell ref="J50:M50"/>
    <mergeCell ref="P50:S50"/>
  </mergeCells>
  <conditionalFormatting sqref="P42">
    <cfRule type="expression" dxfId="8" priority="9" stopIfTrue="1">
      <formula>$P$42=""</formula>
    </cfRule>
  </conditionalFormatting>
  <conditionalFormatting sqref="P18:P27">
    <cfRule type="expression" dxfId="7" priority="7" stopIfTrue="1">
      <formula>AND(P18&lt;&gt;"OK",P18&lt;&gt;"-",P18&lt;&gt;"")</formula>
    </cfRule>
    <cfRule type="cellIs" dxfId="6" priority="8" stopIfTrue="1" operator="equal">
      <formula>"OK"</formula>
    </cfRule>
  </conditionalFormatting>
  <conditionalFormatting sqref="J26:O26">
    <cfRule type="expression" dxfId="5" priority="6" stopIfTrue="1">
      <formula>$R$11="Não"</formula>
    </cfRule>
  </conditionalFormatting>
  <conditionalFormatting sqref="J27:O27">
    <cfRule type="expression" dxfId="4" priority="5" stopIfTrue="1">
      <formula>$R$11="sim"</formula>
    </cfRule>
  </conditionalFormatting>
  <conditionalFormatting sqref="Q27:S27">
    <cfRule type="expression" dxfId="3" priority="4" stopIfTrue="1">
      <formula>$R$11="sim"</formula>
    </cfRule>
  </conditionalFormatting>
  <conditionalFormatting sqref="Q52:S53">
    <cfRule type="expression" dxfId="2" priority="3" stopIfTrue="1">
      <formula>Q52=""</formula>
    </cfRule>
  </conditionalFormatting>
  <conditionalFormatting sqref="J29:S29">
    <cfRule type="expression" dxfId="1" priority="2" stopIfTrue="1">
      <formula>AND(NOT($W$27),NOT($W$29))</formula>
    </cfRule>
  </conditionalFormatting>
  <conditionalFormatting sqref="Q18:S26">
    <cfRule type="expression" dxfId="0" priority="1" stopIfTrue="1">
      <formula>$J$11=$A$63</formula>
    </cfRule>
  </conditionalFormatting>
  <dataValidations count="6">
    <dataValidation type="decimal" allowBlank="1" showInputMessage="1" showErrorMessage="1" errorTitle="Erro de valores" error="Digite um valor entre 0% e 100%" sqref="O18:O23">
      <formula1>0</formula1>
      <formula2>1</formula2>
    </dataValidation>
    <dataValidation type="decimal" operator="greaterThanOrEqual" allowBlank="1" showInputMessage="1" showErrorMessage="1" errorTitle="Valor não permitido" error="Digite um percentual entre 0% e 100%." promptTitle="Valores comuns:" prompt="Normalmente entre 2 e 5%." sqref="R14:S14">
      <formula1>0</formula1>
    </dataValidation>
    <dataValidation type="decimal" allowBlank="1" showInputMessage="1" showErrorMessage="1" errorTitle="Valor não permitido" error="Digite um percentual entre 0% e 100%." promptTitle="Valores admissíveis:" prompt="Insira valores entre 0 e 100%." sqref="R13:S13">
      <formula1>0</formula1>
      <formula2>1</formula2>
    </dataValidation>
    <dataValidation type="decimal" allowBlank="1" showInputMessage="1" showErrorMessage="1" errorTitle="Erro de valores" error="Digite um valor maior do que 0." sqref="O24">
      <formula1>0</formula1>
      <formula2>1</formula2>
    </dataValidation>
    <dataValidation operator="greaterThanOrEqual" allowBlank="1" showInputMessage="1" showErrorMessage="1" errorTitle="Erro de valores" error="Digite um valor igual a 0% ou 2%." sqref="O25"/>
    <dataValidation type="list" allowBlank="1" showInputMessage="1" showErrorMessage="1" sqref="J11:Q11">
      <formula1>$A$57:$A$64</formula1>
    </dataValidation>
  </dataValidations>
  <printOptions horizontalCentered="1"/>
  <pageMargins left="0.78740157480314965" right="0.39370078740157483" top="0.78740157480314965" bottom="0.78740157480314965" header="0" footer="0"/>
  <pageSetup paperSize="9" scale="7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cleber.schneider</dc:creator>
  <cp:lastModifiedBy>Usuário do Windows</cp:lastModifiedBy>
  <cp:lastPrinted>2023-05-19T18:52:39Z</cp:lastPrinted>
  <dcterms:created xsi:type="dcterms:W3CDTF">2022-10-18T20:14:04Z</dcterms:created>
  <dcterms:modified xsi:type="dcterms:W3CDTF">2023-05-19T18:53:51Z</dcterms:modified>
</cp:coreProperties>
</file>